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<sst xmlns="http://schemas.openxmlformats.org/spreadsheetml/2006/main" count="209" uniqueCount="60">
  <si>
    <t>²Øöàö îºÔºÎ²îìàôÂÚàôÜ 21.12.2018Ã. ¹ñáõÃÛ³Ùµ</t>
  </si>
  <si>
    <t xml:space="preserve">æðú¶î²¶àðÌàÔÜºðÆ ÀÜÎºðàôÂÚàôÜÜºðÆ 2018Ã. àèà¶Ø²Ü Þðæ²ÜÆ òàôò²ÜÆÞÜºðÆ ìºð²´ºðÚ²È </t>
  </si>
  <si>
    <t>N</t>
  </si>
  <si>
    <t>æúÀ ³Ýí³ÝáõÙÁ</t>
  </si>
  <si>
    <t>òáõó³ÝÇßÝ»ñ</t>
  </si>
  <si>
    <t>2018Ã. ééá·»ÉÇ ÑáÕ»ñ [Ñ³]</t>
  </si>
  <si>
    <t>ä³ÛÙ³Ý³·ñ»ñÇ ù³Ý³ÏÁ</t>
  </si>
  <si>
    <r>
      <t>ä²Ð²ÜæìàÔ æðÆ Ì²ì²ÈÀ [Ñ³½. Ù</t>
    </r>
    <r>
      <rPr>
        <b/>
        <vertAlign val="superscript"/>
        <sz val="8"/>
        <rFont val="Arial Armenian"/>
        <family val="2"/>
      </rPr>
      <t>3</t>
    </r>
    <r>
      <rPr>
        <b/>
        <sz val="8"/>
        <rFont val="Arial Armenian"/>
        <family val="2"/>
      </rPr>
      <t>]</t>
    </r>
  </si>
  <si>
    <t>"àèà¶àôØ-æð²è"-Ç ê²Î²¶ÆÜÀ ²²Ð-áí [¹ñ³Ù]</t>
  </si>
  <si>
    <t xml:space="preserve">"àèà¶àôØ-æð²è"-ÇÝ ìÖ²ðàôØÜºð [Ñ³½. ¹ñ³Ù] </t>
  </si>
  <si>
    <t>æðîàôøÀ ¸²ÞîàôØ [Ñ³½. Ù3]</t>
  </si>
  <si>
    <t>ÎàðàôêîÜºðÀ %</t>
  </si>
  <si>
    <t>æúÀ ë³Ï³·ÇÝÁ [¹ñ³Ù]</t>
  </si>
  <si>
    <t xml:space="preserve">Ð²êàôÚÂ ¨ ö²êî²òÆ ¶²ÜÒàôØ [Ñ³½. ¹ñ³Ù] </t>
  </si>
  <si>
    <t>²Ý¹³Ù³í×³ñÝ»ñÇ Ñ³í³ù³·ñáõÙ [Ñ³½. ¹ñ³Ù]</t>
  </si>
  <si>
    <t>¾ÈºÎîð²¾Üºð¶Æ²</t>
  </si>
  <si>
    <t>"àéá·áõÙ-çñ³é"-Çó</t>
  </si>
  <si>
    <t>î»Õ³Ï³Ý ³ÕµÛáõñÝ»ñÇó</t>
  </si>
  <si>
    <t>ÀÝ¹³Ù»ÝÁ</t>
  </si>
  <si>
    <t>ÇÝùÝ³Ñáë</t>
  </si>
  <si>
    <t>Ù»Ë³ÝÇÏ³Ï³Ý</t>
  </si>
  <si>
    <t>ù³Ý³ÏÁ [Ñ³½.Îíï/Å]</t>
  </si>
  <si>
    <t>·áõÙ³ñÁ [Ñ³½.¹ñ³Ù]</t>
  </si>
  <si>
    <t>ì×³ñáõÙ [Ñ³½.¹ñ³Ù]</t>
  </si>
  <si>
    <t>îáÏáëÁ [%]</t>
  </si>
  <si>
    <t xml:space="preserve">ºÝÃ³Ï³ ¿ í×³ñÙ³Ý </t>
  </si>
  <si>
    <t xml:space="preserve">ÀÝ¹Ñ³Ýáõñ í×³ñáõÙÁ </t>
  </si>
  <si>
    <t>³Û¹ ÃíáõÙ æúÀ-Ç ÏáÕÙÇó</t>
  </si>
  <si>
    <t xml:space="preserve">Ð²êàôÚÂ </t>
  </si>
  <si>
    <t xml:space="preserve">¶²ÜÒàôØ </t>
  </si>
  <si>
    <t xml:space="preserve">³Û¹ ÃíáõÙ æúÀ-Ç ÏáÕÙÇó </t>
  </si>
  <si>
    <t>ՋՐԱՌ ՓԲԸ-Ի ԿՈՂՄԻՑ ՍՊԱՍԱՐԿՎՈՂ</t>
  </si>
  <si>
    <t>ԱՐՏԱՇԱՏ ՋՕԸ</t>
  </si>
  <si>
    <t xml:space="preserve">Àëï 2018Ã µÛáõç»Ç </t>
  </si>
  <si>
    <t>xxx</t>
  </si>
  <si>
    <t xml:space="preserve">ö³ëï³óÇ  </t>
  </si>
  <si>
    <t>ØÝ³óáñ¹ ÷³ëï³óÇ</t>
  </si>
  <si>
    <t>ԱՐԱՐԱՏ ՋՕԸ</t>
  </si>
  <si>
    <t>ԵՐԵՎԱՆ ՋՕԸ</t>
  </si>
  <si>
    <t>ԷՋՄԻԱԾԻՆ ՋՕԸ</t>
  </si>
  <si>
    <t>ԿՈՏԱՅՔ ՋՕԸ</t>
  </si>
  <si>
    <t>ԱՐԱԳԱԾՈՏՆ ՋՕԸ</t>
  </si>
  <si>
    <t>ԱՐՄԱՎԻՐ ՋՕԸ</t>
  </si>
  <si>
    <t>ՇԵՆԻԿ ՋՕԸ</t>
  </si>
  <si>
    <t>ԹԱԼԻՆ ՋՕԸ</t>
  </si>
  <si>
    <t>ՇԻՐԱԿ ՋՕԸ</t>
  </si>
  <si>
    <t>ÀÜ¸²ØºÜÀ Àêî ´ÚàôæºÆ-10</t>
  </si>
  <si>
    <t>ÀÜ¸²ØºÜÀ ö²êî²òÆ10</t>
  </si>
  <si>
    <t>ԼՈԿԱԼ ՋՐԱՂԲՅՈՒՐՆԵԻՐՑ ՕԳՏՎՈՂ</t>
  </si>
  <si>
    <t>ԳԵՂԱՐՔՈՒՆԻՔ ՋՕԸ</t>
  </si>
  <si>
    <t xml:space="preserve"> </t>
  </si>
  <si>
    <t>ՏԱՎՈՒՇ ՋՕԸ</t>
  </si>
  <si>
    <t>ԼՈՌԻ ՋՕԸ</t>
  </si>
  <si>
    <t>ԵՂԵԳՆԱՁՈՐ ՋՕԸ</t>
  </si>
  <si>
    <t>ՍՅՈՒՆԻՔ ՋՕԸ</t>
  </si>
  <si>
    <t>ÀÜ¸²ØºÜÀ Àêî ´ÚàôæºÆ-5</t>
  </si>
  <si>
    <t>ÀÜ¸²ØºÜÀ ö²êî²òÆ-5</t>
  </si>
  <si>
    <t>Ð²Üð²¶àôØ²ðÀ Àêî ´ÚàôæºÆ-15</t>
  </si>
  <si>
    <t>Ð²Üð²¶àôØ²ðÀ ö²êî²òÆ-15</t>
  </si>
  <si>
    <t>¶³ÝÓáõÙ</t>
  </si>
</sst>
</file>

<file path=xl/styles.xml><?xml version="1.0" encoding="utf-8"?>
<styleSheet xmlns="http://schemas.openxmlformats.org/spreadsheetml/2006/main">
  <numFmts count="1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0.0%"/>
    <numFmt numFmtId="171" formatCode="#,##0.00;[Red]#,##0.00"/>
    <numFmt numFmtId="172" formatCode="#,##0.0;[Red]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4"/>
      <name val="Arial Armenian"/>
      <family val="2"/>
    </font>
    <font>
      <b/>
      <sz val="9"/>
      <name val="Arial Armenian"/>
      <family val="2"/>
    </font>
    <font>
      <b/>
      <sz val="13"/>
      <name val="Arial Armenian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sz val="10"/>
      <name val="Arial Armenian"/>
      <family val="2"/>
    </font>
    <font>
      <b/>
      <vertAlign val="superscript"/>
      <sz val="8"/>
      <name val="Arial Armenian"/>
      <family val="2"/>
    </font>
    <font>
      <sz val="8"/>
      <name val="Arial Armenian"/>
      <family val="2"/>
    </font>
    <font>
      <b/>
      <sz val="6"/>
      <name val="Arial Armenian"/>
      <family val="2"/>
    </font>
    <font>
      <sz val="6"/>
      <name val="Arial Armenian"/>
      <family val="2"/>
    </font>
    <font>
      <b/>
      <sz val="9"/>
      <name val="Arial"/>
      <family val="2"/>
    </font>
    <font>
      <b/>
      <sz val="9"/>
      <color indexed="10"/>
      <name val="Arial AMU"/>
      <family val="2"/>
    </font>
    <font>
      <sz val="10"/>
      <name val="Arial"/>
      <family val="2"/>
    </font>
    <font>
      <sz val="9"/>
      <name val="Arial Armenian"/>
      <family val="2"/>
    </font>
    <font>
      <b/>
      <sz val="10"/>
      <color indexed="10"/>
      <name val="Arial AMU"/>
      <family val="2"/>
    </font>
    <font>
      <b/>
      <sz val="7"/>
      <name val="Arial Armenian"/>
      <family val="2"/>
    </font>
    <font>
      <sz val="7"/>
      <color indexed="8"/>
      <name val="Calibri"/>
      <family val="2"/>
    </font>
    <font>
      <b/>
      <sz val="11"/>
      <name val="Arial Armenian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AMU"/>
      <family val="2"/>
    </font>
    <font>
      <b/>
      <sz val="10"/>
      <color rgb="FFFF0000"/>
      <name val="Arial AMU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68" fontId="22" fillId="0" borderId="0" xfId="0" applyNumberFormat="1" applyFont="1" applyFill="1" applyBorder="1" applyAlignment="1" applyProtection="1">
      <alignment horizontal="left" vertical="center"/>
      <protection locked="0"/>
    </xf>
    <xf numFmtId="168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68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1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 wrapText="1"/>
      <protection locked="0"/>
    </xf>
    <xf numFmtId="0" fontId="23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1" xfId="0" applyFont="1" applyFill="1" applyBorder="1" applyAlignment="1" applyProtection="1">
      <alignment horizontal="center" vertical="top" wrapText="1"/>
      <protection locked="0"/>
    </xf>
    <xf numFmtId="0" fontId="23" fillId="33" borderId="13" xfId="0" applyFont="1" applyFill="1" applyBorder="1" applyAlignment="1" applyProtection="1">
      <alignment horizontal="center" vertical="top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3" fillId="33" borderId="15" xfId="0" applyFont="1" applyFill="1" applyBorder="1" applyAlignment="1" applyProtection="1">
      <alignment horizontal="center" vertical="center" wrapText="1"/>
      <protection locked="0"/>
    </xf>
    <xf numFmtId="0" fontId="23" fillId="33" borderId="16" xfId="0" applyFont="1" applyFill="1" applyBorder="1" applyAlignment="1" applyProtection="1">
      <alignment horizontal="center" vertical="center" wrapText="1"/>
      <protection locked="0"/>
    </xf>
    <xf numFmtId="4" fontId="2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8" fontId="2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33" borderId="13" xfId="0" applyFont="1" applyFill="1" applyBorder="1" applyAlignment="1" applyProtection="1">
      <alignment vertical="center" wrapText="1"/>
      <protection locked="0"/>
    </xf>
    <xf numFmtId="0" fontId="23" fillId="33" borderId="17" xfId="0" applyFont="1" applyFill="1" applyBorder="1" applyAlignment="1" applyProtection="1">
      <alignment horizontal="center" vertical="center" wrapText="1"/>
      <protection locked="0"/>
    </xf>
    <xf numFmtId="4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8" xfId="0" applyFont="1" applyFill="1" applyBorder="1" applyAlignment="1" applyProtection="1">
      <alignment horizontal="center" vertical="center" wrapText="1"/>
      <protection locked="0"/>
    </xf>
    <xf numFmtId="0" fontId="23" fillId="33" borderId="19" xfId="0" applyFont="1" applyFill="1" applyBorder="1" applyAlignment="1" applyProtection="1">
      <alignment horizontal="center" vertical="center" wrapText="1"/>
      <protection locked="0"/>
    </xf>
    <xf numFmtId="0" fontId="23" fillId="33" borderId="20" xfId="0" applyFont="1" applyFill="1" applyBorder="1" applyAlignment="1" applyProtection="1">
      <alignment horizontal="center" vertical="center" wrapText="1"/>
      <protection locked="0"/>
    </xf>
    <xf numFmtId="4" fontId="23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168" fontId="23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4" fontId="26" fillId="33" borderId="22" xfId="0" applyNumberFormat="1" applyFont="1" applyFill="1" applyBorder="1" applyAlignment="1" applyProtection="1">
      <alignment horizontal="center" vertical="center" textRotation="90" wrapText="1"/>
      <protection locked="0"/>
    </xf>
    <xf numFmtId="4" fontId="23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23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0" fontId="23" fillId="33" borderId="22" xfId="0" applyFont="1" applyFill="1" applyBorder="1" applyAlignment="1" applyProtection="1">
      <alignment horizontal="center" vertical="center" wrapText="1"/>
      <protection locked="0"/>
    </xf>
    <xf numFmtId="0" fontId="23" fillId="33" borderId="22" xfId="0" applyFont="1" applyFill="1" applyBorder="1" applyAlignment="1" applyProtection="1">
      <alignment horizontal="center" vertical="center" textRotation="90" wrapText="1"/>
      <protection locked="0"/>
    </xf>
    <xf numFmtId="4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23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33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3" borderId="22" xfId="0" applyFont="1" applyFill="1" applyBorder="1" applyAlignment="1" applyProtection="1">
      <alignment horizontal="center"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/>
      <protection locked="0"/>
    </xf>
    <xf numFmtId="0" fontId="20" fillId="33" borderId="12" xfId="0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 applyProtection="1">
      <alignment horizontal="left" vertical="center"/>
      <protection locked="0"/>
    </xf>
    <xf numFmtId="9" fontId="0" fillId="0" borderId="0" xfId="0" applyNumberFormat="1" applyAlignment="1">
      <alignment/>
    </xf>
    <xf numFmtId="0" fontId="29" fillId="34" borderId="10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 applyProtection="1">
      <alignment horizontal="center" vertical="center" wrapText="1"/>
      <protection hidden="1"/>
    </xf>
    <xf numFmtId="0" fontId="23" fillId="0" borderId="22" xfId="0" applyNumberFormat="1" applyFont="1" applyFill="1" applyBorder="1" applyAlignment="1" applyProtection="1">
      <alignment horizontal="left" vertical="center" wrapText="1"/>
      <protection hidden="1"/>
    </xf>
    <xf numFmtId="168" fontId="32" fillId="0" borderId="22" xfId="56" applyNumberFormat="1" applyFont="1" applyFill="1" applyBorder="1" applyAlignment="1" applyProtection="1">
      <alignment horizontal="right" vertical="center" wrapText="1"/>
      <protection hidden="1"/>
    </xf>
    <xf numFmtId="168" fontId="32" fillId="0" borderId="22" xfId="0" applyNumberFormat="1" applyFont="1" applyFill="1" applyBorder="1" applyAlignment="1" applyProtection="1">
      <alignment vertical="center" wrapText="1"/>
      <protection hidden="1"/>
    </xf>
    <xf numFmtId="168" fontId="20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32" fillId="0" borderId="22" xfId="0" applyNumberFormat="1" applyFont="1" applyFill="1" applyBorder="1" applyAlignment="1" applyProtection="1">
      <alignment horizontal="center" vertical="center" wrapText="1"/>
      <protection hidden="1"/>
    </xf>
    <xf numFmtId="168" fontId="18" fillId="0" borderId="22" xfId="0" applyNumberFormat="1" applyFont="1" applyFill="1" applyBorder="1" applyAlignment="1" applyProtection="1">
      <alignment horizontal="right" vertical="center" wrapText="1"/>
      <protection hidden="1"/>
    </xf>
    <xf numFmtId="169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170" fontId="32" fillId="0" borderId="22" xfId="0" applyNumberFormat="1" applyFont="1" applyFill="1" applyBorder="1" applyAlignment="1" applyProtection="1">
      <alignment horizontal="center" vertical="center" wrapText="1"/>
      <protection hidden="1"/>
    </xf>
    <xf numFmtId="169" fontId="32" fillId="0" borderId="22" xfId="0" applyNumberFormat="1" applyFont="1" applyFill="1" applyBorder="1" applyAlignment="1" applyProtection="1">
      <alignment horizontal="center" vertical="center" wrapText="1"/>
      <protection hidden="1"/>
    </xf>
    <xf numFmtId="168" fontId="32" fillId="0" borderId="22" xfId="0" applyNumberFormat="1" applyFont="1" applyFill="1" applyBorder="1" applyAlignment="1" applyProtection="1">
      <alignment horizontal="right" vertical="center" wrapText="1"/>
      <protection hidden="1"/>
    </xf>
    <xf numFmtId="168" fontId="32" fillId="0" borderId="22" xfId="0" applyNumberFormat="1" applyFont="1" applyFill="1" applyBorder="1" applyAlignment="1">
      <alignment horizontal="right" vertical="center"/>
    </xf>
    <xf numFmtId="168" fontId="18" fillId="0" borderId="22" xfId="0" applyNumberFormat="1" applyFont="1" applyFill="1" applyBorder="1" applyAlignment="1">
      <alignment horizontal="right" vertical="center" wrapText="1"/>
    </xf>
    <xf numFmtId="169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9" fillId="34" borderId="17" xfId="0" applyFont="1" applyFill="1" applyBorder="1" applyAlignment="1">
      <alignment horizontal="center" vertical="center" wrapText="1"/>
    </xf>
    <xf numFmtId="0" fontId="23" fillId="34" borderId="22" xfId="0" applyNumberFormat="1" applyFont="1" applyFill="1" applyBorder="1" applyAlignment="1" applyProtection="1">
      <alignment horizontal="left" vertical="center" wrapText="1"/>
      <protection hidden="1"/>
    </xf>
    <xf numFmtId="168" fontId="32" fillId="35" borderId="22" xfId="56" applyNumberFormat="1" applyFont="1" applyFill="1" applyBorder="1" applyAlignment="1" applyProtection="1">
      <alignment horizontal="right" vertical="center" wrapText="1"/>
      <protection hidden="1"/>
    </xf>
    <xf numFmtId="168" fontId="32" fillId="34" borderId="22" xfId="0" applyNumberFormat="1" applyFont="1" applyFill="1" applyBorder="1" applyAlignment="1" applyProtection="1">
      <alignment horizontal="right" vertical="center" wrapText="1"/>
      <protection locked="0"/>
    </xf>
    <xf numFmtId="168" fontId="32" fillId="34" borderId="22" xfId="0" applyNumberFormat="1" applyFont="1" applyFill="1" applyBorder="1" applyAlignment="1" applyProtection="1">
      <alignment horizontal="center" vertical="center" wrapText="1"/>
      <protection locked="0"/>
    </xf>
    <xf numFmtId="168" fontId="20" fillId="34" borderId="22" xfId="0" applyNumberFormat="1" applyFont="1" applyFill="1" applyBorder="1" applyAlignment="1" applyProtection="1">
      <alignment horizontal="right" vertical="center" wrapText="1"/>
      <protection hidden="1"/>
    </xf>
    <xf numFmtId="4" fontId="32" fillId="34" borderId="22" xfId="0" applyNumberFormat="1" applyFont="1" applyFill="1" applyBorder="1" applyAlignment="1" applyProtection="1">
      <alignment horizontal="center" vertical="center" wrapText="1"/>
      <protection hidden="1"/>
    </xf>
    <xf numFmtId="169" fontId="20" fillId="0" borderId="17" xfId="0" applyNumberFormat="1" applyFont="1" applyFill="1" applyBorder="1" applyAlignment="1" applyProtection="1">
      <alignment horizontal="center" vertical="center" wrapText="1"/>
      <protection hidden="1"/>
    </xf>
    <xf numFmtId="170" fontId="32" fillId="34" borderId="22" xfId="0" applyNumberFormat="1" applyFont="1" applyFill="1" applyBorder="1" applyAlignment="1" applyProtection="1">
      <alignment horizontal="center" vertical="center" wrapText="1"/>
      <protection hidden="1"/>
    </xf>
    <xf numFmtId="168" fontId="20" fillId="35" borderId="22" xfId="55" applyNumberFormat="1" applyFont="1" applyFill="1" applyBorder="1" applyAlignment="1" applyProtection="1">
      <alignment horizontal="right" vertical="center" wrapText="1"/>
      <protection locked="0"/>
    </xf>
    <xf numFmtId="168" fontId="20" fillId="34" borderId="22" xfId="0" applyNumberFormat="1" applyFont="1" applyFill="1" applyBorder="1" applyAlignment="1" applyProtection="1">
      <alignment horizontal="right" vertical="center" wrapText="1"/>
      <protection locked="0"/>
    </xf>
    <xf numFmtId="169" fontId="2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9" fillId="34" borderId="21" xfId="0" applyFont="1" applyFill="1" applyBorder="1" applyAlignment="1">
      <alignment horizontal="center" vertical="center" wrapText="1"/>
    </xf>
    <xf numFmtId="0" fontId="23" fillId="36" borderId="22" xfId="0" applyNumberFormat="1" applyFont="1" applyFill="1" applyBorder="1" applyAlignment="1" applyProtection="1">
      <alignment horizontal="left" vertical="center" wrapText="1"/>
      <protection hidden="1"/>
    </xf>
    <xf numFmtId="168" fontId="32" fillId="36" borderId="22" xfId="0" applyNumberFormat="1" applyFont="1" applyFill="1" applyBorder="1" applyAlignment="1" applyProtection="1">
      <alignment vertical="center" wrapText="1"/>
      <protection hidden="1"/>
    </xf>
    <xf numFmtId="4" fontId="32" fillId="36" borderId="22" xfId="0" applyNumberFormat="1" applyFont="1" applyFill="1" applyBorder="1" applyAlignment="1" applyProtection="1">
      <alignment horizontal="center" vertical="center" wrapText="1"/>
      <protection hidden="1"/>
    </xf>
    <xf numFmtId="168" fontId="20" fillId="36" borderId="22" xfId="0" applyNumberFormat="1" applyFont="1" applyFill="1" applyBorder="1" applyAlignment="1" applyProtection="1">
      <alignment horizontal="right" vertical="center" wrapText="1"/>
      <protection hidden="1"/>
    </xf>
    <xf numFmtId="168" fontId="18" fillId="36" borderId="22" xfId="0" applyNumberFormat="1" applyFont="1" applyFill="1" applyBorder="1" applyAlignment="1" applyProtection="1">
      <alignment horizontal="right" vertical="center" wrapText="1"/>
      <protection hidden="1"/>
    </xf>
    <xf numFmtId="169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168" fontId="32" fillId="36" borderId="22" xfId="0" applyNumberFormat="1" applyFont="1" applyFill="1" applyBorder="1" applyAlignment="1" applyProtection="1">
      <alignment horizontal="right" vertical="center"/>
      <protection locked="0"/>
    </xf>
    <xf numFmtId="168" fontId="32" fillId="36" borderId="22" xfId="0" applyNumberFormat="1" applyFont="1" applyFill="1" applyBorder="1" applyAlignment="1" applyProtection="1">
      <alignment horizontal="right" vertical="center" wrapText="1"/>
      <protection hidden="1"/>
    </xf>
    <xf numFmtId="168" fontId="32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169" fontId="2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5" fillId="35" borderId="10" xfId="0" applyFont="1" applyFill="1" applyBorder="1" applyAlignment="1" applyProtection="1">
      <alignment horizontal="center" vertical="center" wrapText="1"/>
      <protection hidden="1"/>
    </xf>
    <xf numFmtId="0" fontId="55" fillId="35" borderId="17" xfId="0" applyFont="1" applyFill="1" applyBorder="1" applyAlignment="1" applyProtection="1">
      <alignment horizontal="center" vertical="center" wrapText="1"/>
      <protection hidden="1"/>
    </xf>
    <xf numFmtId="0" fontId="55" fillId="35" borderId="21" xfId="0" applyFont="1" applyFill="1" applyBorder="1" applyAlignment="1" applyProtection="1">
      <alignment horizontal="center" vertical="center" wrapText="1"/>
      <protection hidden="1"/>
    </xf>
    <xf numFmtId="168" fontId="32" fillId="0" borderId="22" xfId="0" applyNumberFormat="1" applyFont="1" applyFill="1" applyBorder="1" applyAlignment="1" applyProtection="1">
      <alignment horizontal="right" vertical="center"/>
      <protection hidden="1"/>
    </xf>
    <xf numFmtId="169" fontId="20" fillId="0" borderId="10" xfId="0" applyNumberFormat="1" applyFont="1" applyFill="1" applyBorder="1" applyAlignment="1" applyProtection="1">
      <alignment horizontal="center" vertical="center"/>
      <protection hidden="1"/>
    </xf>
    <xf numFmtId="4" fontId="32" fillId="0" borderId="22" xfId="0" applyNumberFormat="1" applyFont="1" applyFill="1" applyBorder="1" applyAlignment="1" applyProtection="1">
      <alignment horizontal="right" vertical="center"/>
      <protection hidden="1"/>
    </xf>
    <xf numFmtId="169" fontId="23" fillId="0" borderId="10" xfId="0" applyNumberFormat="1" applyFont="1" applyFill="1" applyBorder="1" applyAlignment="1" applyProtection="1">
      <alignment horizontal="center" vertical="center"/>
      <protection hidden="1"/>
    </xf>
    <xf numFmtId="168" fontId="32" fillId="34" borderId="22" xfId="0" applyNumberFormat="1" applyFont="1" applyFill="1" applyBorder="1" applyAlignment="1" applyProtection="1">
      <alignment vertical="center" wrapText="1"/>
      <protection locked="0"/>
    </xf>
    <xf numFmtId="168" fontId="32" fillId="35" borderId="22" xfId="0" applyNumberFormat="1" applyFont="1" applyFill="1" applyBorder="1" applyAlignment="1" applyProtection="1">
      <alignment horizontal="right" vertical="center" wrapText="1"/>
      <protection locked="0"/>
    </xf>
    <xf numFmtId="168" fontId="32" fillId="35" borderId="22" xfId="0" applyNumberFormat="1" applyFont="1" applyFill="1" applyBorder="1" applyAlignment="1" applyProtection="1">
      <alignment horizontal="center" vertical="center" wrapText="1"/>
      <protection locked="0"/>
    </xf>
    <xf numFmtId="169" fontId="20" fillId="0" borderId="17" xfId="0" applyNumberFormat="1" applyFont="1" applyFill="1" applyBorder="1" applyAlignment="1" applyProtection="1">
      <alignment horizontal="center" vertical="center"/>
      <protection hidden="1"/>
    </xf>
    <xf numFmtId="4" fontId="32" fillId="34" borderId="22" xfId="0" applyNumberFormat="1" applyFont="1" applyFill="1" applyBorder="1" applyAlignment="1" applyProtection="1">
      <alignment horizontal="right" vertical="center"/>
      <protection hidden="1"/>
    </xf>
    <xf numFmtId="168" fontId="20" fillId="35" borderId="22" xfId="0" applyNumberFormat="1" applyFont="1" applyFill="1" applyBorder="1" applyAlignment="1" applyProtection="1">
      <alignment horizontal="right" vertical="center" wrapText="1"/>
      <protection locked="0"/>
    </xf>
    <xf numFmtId="169" fontId="23" fillId="0" borderId="17" xfId="0" applyNumberFormat="1" applyFont="1" applyFill="1" applyBorder="1" applyAlignment="1" applyProtection="1">
      <alignment horizontal="center" vertical="center"/>
      <protection hidden="1"/>
    </xf>
    <xf numFmtId="169" fontId="20" fillId="0" borderId="21" xfId="0" applyNumberFormat="1" applyFont="1" applyFill="1" applyBorder="1" applyAlignment="1" applyProtection="1">
      <alignment horizontal="center" vertical="center"/>
      <protection hidden="1"/>
    </xf>
    <xf numFmtId="169" fontId="23" fillId="0" borderId="21" xfId="0" applyNumberFormat="1" applyFont="1" applyFill="1" applyBorder="1" applyAlignment="1" applyProtection="1">
      <alignment horizontal="center" vertical="center"/>
      <protection hidden="1"/>
    </xf>
    <xf numFmtId="168" fontId="32" fillId="0" borderId="22" xfId="56" applyNumberFormat="1" applyFont="1" applyFill="1" applyBorder="1" applyAlignment="1" applyProtection="1">
      <alignment horizontal="right" vertical="center"/>
      <protection hidden="1"/>
    </xf>
    <xf numFmtId="168" fontId="32" fillId="35" borderId="22" xfId="0" applyNumberFormat="1" applyFont="1" applyFill="1" applyBorder="1" applyAlignment="1" applyProtection="1">
      <alignment vertical="center" wrapText="1"/>
      <protection locked="0"/>
    </xf>
    <xf numFmtId="168" fontId="32" fillId="34" borderId="22" xfId="0" applyNumberFormat="1" applyFont="1" applyFill="1" applyBorder="1" applyAlignment="1" applyProtection="1">
      <alignment horizontal="right" vertical="center"/>
      <protection locked="0"/>
    </xf>
    <xf numFmtId="168" fontId="32" fillId="34" borderId="22" xfId="0" applyNumberFormat="1" applyFont="1" applyFill="1" applyBorder="1" applyAlignment="1" applyProtection="1">
      <alignment horizontal="center" vertical="center"/>
      <protection locked="0"/>
    </xf>
    <xf numFmtId="168" fontId="20" fillId="35" borderId="22" xfId="0" applyNumberFormat="1" applyFont="1" applyFill="1" applyBorder="1" applyAlignment="1" applyProtection="1">
      <alignment horizontal="right" vertical="center" wrapText="1"/>
      <protection hidden="1"/>
    </xf>
    <xf numFmtId="0" fontId="20" fillId="33" borderId="11" xfId="0" applyFont="1" applyFill="1" applyBorder="1" applyAlignment="1" applyProtection="1">
      <alignment horizontal="left" vertical="center" wrapText="1"/>
      <protection hidden="1"/>
    </xf>
    <xf numFmtId="0" fontId="20" fillId="33" borderId="12" xfId="0" applyFont="1" applyFill="1" applyBorder="1" applyAlignment="1" applyProtection="1">
      <alignment horizontal="left" vertical="center" wrapText="1"/>
      <protection hidden="1"/>
    </xf>
    <xf numFmtId="0" fontId="20" fillId="33" borderId="13" xfId="0" applyFont="1" applyFill="1" applyBorder="1" applyAlignment="1" applyProtection="1">
      <alignment horizontal="left" vertical="center" wrapText="1"/>
      <protection hidden="1"/>
    </xf>
    <xf numFmtId="168" fontId="20" fillId="33" borderId="22" xfId="0" applyNumberFormat="1" applyFont="1" applyFill="1" applyBorder="1" applyAlignment="1" applyProtection="1">
      <alignment horizontal="right" vertical="center" wrapText="1"/>
      <protection hidden="1"/>
    </xf>
    <xf numFmtId="3" fontId="20" fillId="33" borderId="22" xfId="0" applyNumberFormat="1" applyFont="1" applyFill="1" applyBorder="1" applyAlignment="1" applyProtection="1">
      <alignment horizontal="center" vertical="center" wrapText="1"/>
      <protection hidden="1"/>
    </xf>
    <xf numFmtId="169" fontId="20" fillId="33" borderId="22" xfId="0" applyNumberFormat="1" applyFont="1" applyFill="1" applyBorder="1" applyAlignment="1" applyProtection="1">
      <alignment horizontal="center" vertical="center" wrapText="1"/>
      <protection hidden="1"/>
    </xf>
    <xf numFmtId="170" fontId="20" fillId="33" borderId="22" xfId="0" applyNumberFormat="1" applyFont="1" applyFill="1" applyBorder="1" applyAlignment="1" applyProtection="1">
      <alignment horizontal="center" vertical="center" wrapText="1"/>
      <protection hidden="1"/>
    </xf>
    <xf numFmtId="4" fontId="20" fillId="33" borderId="22" xfId="0" applyNumberFormat="1" applyFont="1" applyFill="1" applyBorder="1" applyAlignment="1" applyProtection="1">
      <alignment horizontal="center" vertical="center" wrapText="1"/>
      <protection hidden="1"/>
    </xf>
    <xf numFmtId="169" fontId="20" fillId="33" borderId="22" xfId="0" applyNumberFormat="1" applyFont="1" applyFill="1" applyBorder="1" applyAlignment="1" applyProtection="1">
      <alignment horizontal="center" vertical="center"/>
      <protection hidden="1"/>
    </xf>
    <xf numFmtId="168" fontId="20" fillId="33" borderId="22" xfId="0" applyNumberFormat="1" applyFont="1" applyFill="1" applyBorder="1" applyAlignment="1" applyProtection="1">
      <alignment horizontal="right" vertical="center" wrapText="1"/>
      <protection hidden="1" locked="0"/>
    </xf>
    <xf numFmtId="169" fontId="23" fillId="33" borderId="22" xfId="0" applyNumberFormat="1" applyFont="1" applyFill="1" applyBorder="1" applyAlignment="1" applyProtection="1">
      <alignment vertical="center" wrapText="1"/>
      <protection hidden="1"/>
    </xf>
    <xf numFmtId="0" fontId="20" fillId="33" borderId="11" xfId="0" applyFont="1" applyFill="1" applyBorder="1" applyAlignment="1" applyProtection="1">
      <alignment vertical="center"/>
      <protection hidden="1"/>
    </xf>
    <xf numFmtId="0" fontId="20" fillId="33" borderId="12" xfId="0" applyFont="1" applyFill="1" applyBorder="1" applyAlignment="1" applyProtection="1">
      <alignment vertical="center"/>
      <protection hidden="1"/>
    </xf>
    <xf numFmtId="168" fontId="20" fillId="33" borderId="12" xfId="0" applyNumberFormat="1" applyFont="1" applyFill="1" applyBorder="1" applyAlignment="1" applyProtection="1">
      <alignment vertical="center"/>
      <protection hidden="1"/>
    </xf>
    <xf numFmtId="168" fontId="20" fillId="33" borderId="13" xfId="0" applyNumberFormat="1" applyFont="1" applyFill="1" applyBorder="1" applyAlignment="1" applyProtection="1">
      <alignment vertical="center"/>
      <protection hidden="1"/>
    </xf>
    <xf numFmtId="169" fontId="23" fillId="33" borderId="22" xfId="0" applyNumberFormat="1" applyFont="1" applyFill="1" applyBorder="1" applyAlignment="1" applyProtection="1">
      <alignment horizontal="center" vertical="center"/>
      <protection hidden="1"/>
    </xf>
    <xf numFmtId="3" fontId="32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32" fillId="34" borderId="22" xfId="0" applyNumberFormat="1" applyFont="1" applyFill="1" applyBorder="1" applyAlignment="1" applyProtection="1">
      <alignment horizontal="center" vertical="center" wrapText="1"/>
      <protection hidden="1"/>
    </xf>
    <xf numFmtId="3" fontId="32" fillId="36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35" borderId="10" xfId="0" applyFont="1" applyFill="1" applyBorder="1" applyAlignment="1">
      <alignment horizontal="center" vertical="center" wrapText="1"/>
    </xf>
    <xf numFmtId="0" fontId="55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29" fillId="35" borderId="17" xfId="0" applyFont="1" applyFill="1" applyBorder="1" applyAlignment="1">
      <alignment horizontal="center" vertical="center" wrapText="1"/>
    </xf>
    <xf numFmtId="0" fontId="55" fillId="35" borderId="17" xfId="0" applyNumberFormat="1" applyFont="1" applyFill="1" applyBorder="1" applyAlignment="1" applyProtection="1">
      <alignment horizontal="center" vertical="center" wrapText="1"/>
      <protection hidden="1"/>
    </xf>
    <xf numFmtId="3" fontId="3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35" borderId="21" xfId="0" applyFont="1" applyFill="1" applyBorder="1" applyAlignment="1">
      <alignment horizontal="center" vertical="center" wrapText="1"/>
    </xf>
    <xf numFmtId="0" fontId="55" fillId="35" borderId="21" xfId="0" applyNumberFormat="1" applyFont="1" applyFill="1" applyBorder="1" applyAlignment="1" applyProtection="1">
      <alignment horizontal="center" vertical="center" wrapText="1"/>
      <protection hidden="1"/>
    </xf>
    <xf numFmtId="168" fontId="32" fillId="35" borderId="22" xfId="0" applyNumberFormat="1" applyFont="1" applyFill="1" applyBorder="1" applyAlignment="1" applyProtection="1">
      <alignment vertical="center" wrapText="1"/>
      <protection hidden="1"/>
    </xf>
    <xf numFmtId="0" fontId="56" fillId="35" borderId="10" xfId="0" applyFont="1" applyFill="1" applyBorder="1" applyAlignment="1" applyProtection="1">
      <alignment horizontal="center" vertical="center" wrapText="1"/>
      <protection hidden="1"/>
    </xf>
    <xf numFmtId="168" fontId="32" fillId="36" borderId="22" xfId="0" applyNumberFormat="1" applyFont="1" applyFill="1" applyBorder="1" applyAlignment="1" applyProtection="1">
      <alignment horizontal="right" vertical="center"/>
      <protection hidden="1"/>
    </xf>
    <xf numFmtId="168" fontId="20" fillId="36" borderId="22" xfId="0" applyNumberFormat="1" applyFont="1" applyFill="1" applyBorder="1" applyAlignment="1" applyProtection="1">
      <alignment horizontal="right" vertical="center"/>
      <protection hidden="1"/>
    </xf>
    <xf numFmtId="168" fontId="20" fillId="0" borderId="22" xfId="0" applyNumberFormat="1" applyFont="1" applyFill="1" applyBorder="1" applyAlignment="1" applyProtection="1">
      <alignment horizontal="right" vertical="center"/>
      <protection hidden="1"/>
    </xf>
    <xf numFmtId="0" fontId="56" fillId="35" borderId="17" xfId="0" applyFont="1" applyFill="1" applyBorder="1" applyAlignment="1" applyProtection="1">
      <alignment horizontal="center" vertical="center" wrapText="1"/>
      <protection hidden="1"/>
    </xf>
    <xf numFmtId="168" fontId="20" fillId="34" borderId="22" xfId="0" applyNumberFormat="1" applyFont="1" applyFill="1" applyBorder="1" applyAlignment="1" applyProtection="1">
      <alignment horizontal="right" vertical="center"/>
      <protection hidden="1"/>
    </xf>
    <xf numFmtId="0" fontId="56" fillId="35" borderId="21" xfId="0" applyFont="1" applyFill="1" applyBorder="1" applyAlignment="1" applyProtection="1">
      <alignment horizontal="center" vertical="center" wrapText="1"/>
      <protection hidden="1"/>
    </xf>
    <xf numFmtId="4" fontId="32" fillId="0" borderId="22" xfId="0" applyNumberFormat="1" applyFont="1" applyFill="1" applyBorder="1" applyAlignment="1" applyProtection="1">
      <alignment horizontal="center" vertical="center"/>
      <protection hidden="1"/>
    </xf>
    <xf numFmtId="168" fontId="20" fillId="35" borderId="22" xfId="0" applyNumberFormat="1" applyFont="1" applyFill="1" applyBorder="1" applyAlignment="1" applyProtection="1">
      <alignment horizontal="right" vertical="center"/>
      <protection hidden="1"/>
    </xf>
    <xf numFmtId="4" fontId="32" fillId="35" borderId="22" xfId="0" applyNumberFormat="1" applyFont="1" applyFill="1" applyBorder="1" applyAlignment="1" applyProtection="1">
      <alignment horizontal="center" vertical="center"/>
      <protection hidden="1"/>
    </xf>
    <xf numFmtId="168" fontId="20" fillId="33" borderId="22" xfId="0" applyNumberFormat="1" applyFont="1" applyFill="1" applyBorder="1" applyAlignment="1" applyProtection="1">
      <alignment horizontal="right" vertical="center"/>
      <protection hidden="1"/>
    </xf>
    <xf numFmtId="169" fontId="34" fillId="33" borderId="22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>
      <alignment/>
    </xf>
    <xf numFmtId="171" fontId="20" fillId="33" borderId="22" xfId="0" applyNumberFormat="1" applyFont="1" applyFill="1" applyBorder="1" applyAlignment="1" applyProtection="1">
      <alignment horizontal="center" vertical="center" wrapText="1"/>
      <protection hidden="1"/>
    </xf>
    <xf numFmtId="168" fontId="20" fillId="33" borderId="22" xfId="0" applyNumberFormat="1" applyFont="1" applyFill="1" applyBorder="1" applyAlignment="1" applyProtection="1">
      <alignment horizontal="center" vertical="center"/>
      <protection hidden="1"/>
    </xf>
    <xf numFmtId="168" fontId="57" fillId="0" borderId="0" xfId="0" applyNumberFormat="1" applyFont="1" applyAlignment="1">
      <alignment/>
    </xf>
    <xf numFmtId="169" fontId="20" fillId="33" borderId="22" xfId="0" applyNumberFormat="1" applyFont="1" applyFill="1" applyBorder="1" applyAlignment="1" applyProtection="1">
      <alignment vertical="center" wrapText="1"/>
      <protection hidden="1"/>
    </xf>
    <xf numFmtId="172" fontId="36" fillId="0" borderId="0" xfId="0" applyNumberFormat="1" applyFont="1" applyFill="1" applyBorder="1" applyAlignment="1" applyProtection="1">
      <alignment vertical="center" wrapText="1"/>
      <protection hidden="1"/>
    </xf>
    <xf numFmtId="172" fontId="36" fillId="36" borderId="0" xfId="0" applyNumberFormat="1" applyFont="1" applyFill="1" applyBorder="1" applyAlignment="1" applyProtection="1">
      <alignment vertical="center" wrapText="1"/>
      <protection hidden="1"/>
    </xf>
    <xf numFmtId="172" fontId="23" fillId="36" borderId="0" xfId="0" applyNumberFormat="1" applyFont="1" applyFill="1" applyBorder="1" applyAlignment="1" applyProtection="1">
      <alignment vertical="center" wrapText="1"/>
      <protection hidden="1"/>
    </xf>
    <xf numFmtId="0" fontId="37" fillId="36" borderId="0" xfId="0" applyFont="1" applyFill="1" applyBorder="1" applyAlignment="1">
      <alignment/>
    </xf>
    <xf numFmtId="172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 applyProtection="1">
      <alignment/>
      <protection hidden="1"/>
    </xf>
    <xf numFmtId="172" fontId="37" fillId="0" borderId="0" xfId="0" applyNumberFormat="1" applyFont="1" applyFill="1" applyAlignment="1" applyProtection="1">
      <alignment/>
      <protection hidden="1"/>
    </xf>
    <xf numFmtId="0" fontId="37" fillId="0" borderId="0" xfId="0" applyFont="1" applyFill="1" applyAlignment="1">
      <alignment horizontal="center"/>
    </xf>
    <xf numFmtId="168" fontId="37" fillId="0" borderId="0" xfId="0" applyNumberFormat="1" applyFont="1" applyFill="1" applyAlignment="1">
      <alignment/>
    </xf>
    <xf numFmtId="171" fontId="37" fillId="0" borderId="0" xfId="0" applyNumberFormat="1" applyFont="1" applyFill="1" applyAlignment="1">
      <alignment/>
    </xf>
    <xf numFmtId="168" fontId="37" fillId="0" borderId="15" xfId="0" applyNumberFormat="1" applyFont="1" applyFill="1" applyBorder="1" applyAlignment="1">
      <alignment/>
    </xf>
    <xf numFmtId="168" fontId="18" fillId="0" borderId="15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8" fontId="37" fillId="0" borderId="0" xfId="0" applyNumberFormat="1" applyFont="1" applyFill="1" applyAlignment="1" applyProtection="1">
      <alignment/>
      <protection hidden="1"/>
    </xf>
    <xf numFmtId="168" fontId="22" fillId="33" borderId="22" xfId="0" applyNumberFormat="1" applyFont="1" applyFill="1" applyBorder="1" applyAlignment="1" applyProtection="1">
      <alignment horizontal="center" vertical="center" wrapText="1"/>
      <protection hidden="1"/>
    </xf>
    <xf numFmtId="168" fontId="37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0" fontId="5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_BUDJET_2006_NAXNAKAN-fin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13.28125" style="0" customWidth="1"/>
    <col min="3" max="3" width="10.7109375" style="0" customWidth="1"/>
    <col min="4" max="4" width="11.421875" style="0" bestFit="1" customWidth="1"/>
    <col min="5" max="5" width="12.28125" style="0" bestFit="1" customWidth="1"/>
    <col min="6" max="6" width="11.421875" style="0" bestFit="1" customWidth="1"/>
    <col min="7" max="8" width="10.140625" style="0" bestFit="1" customWidth="1"/>
    <col min="9" max="9" width="11.421875" style="0" bestFit="1" customWidth="1"/>
    <col min="10" max="10" width="13.421875" style="0" bestFit="1" customWidth="1"/>
    <col min="11" max="12" width="8.8515625" style="0" customWidth="1"/>
    <col min="13" max="13" width="13.421875" style="0" bestFit="1" customWidth="1"/>
    <col min="14" max="14" width="11.421875" style="0" bestFit="1" customWidth="1"/>
    <col min="15" max="15" width="10.140625" style="0" bestFit="1" customWidth="1"/>
    <col min="16" max="16" width="8.8515625" style="0" customWidth="1"/>
    <col min="17" max="17" width="11.421875" style="0" bestFit="1" customWidth="1"/>
    <col min="18" max="19" width="8.8515625" style="0" customWidth="1"/>
    <col min="20" max="21" width="13.421875" style="0" bestFit="1" customWidth="1"/>
    <col min="22" max="22" width="9.421875" style="0" customWidth="1"/>
    <col min="23" max="23" width="12.140625" style="0" customWidth="1"/>
    <col min="24" max="24" width="11.00390625" style="0" customWidth="1"/>
    <col min="25" max="26" width="13.421875" style="0" bestFit="1" customWidth="1"/>
    <col min="27" max="27" width="11.421875" style="0" bestFit="1" customWidth="1"/>
    <col min="28" max="28" width="6.57421875" style="0" customWidth="1"/>
  </cols>
  <sheetData>
    <row r="1" spans="1:28" ht="18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>
      <c r="A3" s="3"/>
      <c r="B3" s="5"/>
      <c r="C3" s="6"/>
      <c r="D3" s="7"/>
      <c r="E3" s="7"/>
      <c r="F3" s="8"/>
      <c r="G3" s="8"/>
      <c r="H3" s="7"/>
      <c r="I3" s="7"/>
      <c r="J3" s="8"/>
      <c r="K3" s="7"/>
      <c r="L3" s="7"/>
      <c r="M3" s="8"/>
      <c r="N3" s="8"/>
      <c r="O3" s="8"/>
      <c r="P3" s="7"/>
      <c r="Q3" s="8"/>
      <c r="R3" s="9"/>
      <c r="S3" s="7"/>
      <c r="T3" s="7"/>
      <c r="U3" s="10"/>
      <c r="V3" s="7"/>
      <c r="W3" s="11"/>
      <c r="X3" s="8"/>
      <c r="Y3" s="8"/>
      <c r="Z3" s="8"/>
      <c r="AA3" s="7"/>
      <c r="AB3" s="7"/>
    </row>
    <row r="4" spans="1:28" ht="35.2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4"/>
      <c r="H4" s="14"/>
      <c r="I4" s="14"/>
      <c r="J4" s="15"/>
      <c r="K4" s="16" t="s">
        <v>8</v>
      </c>
      <c r="L4" s="17"/>
      <c r="M4" s="18" t="s">
        <v>9</v>
      </c>
      <c r="N4" s="19"/>
      <c r="O4" s="19"/>
      <c r="P4" s="20"/>
      <c r="Q4" s="12" t="s">
        <v>10</v>
      </c>
      <c r="R4" s="21" t="s">
        <v>11</v>
      </c>
      <c r="S4" s="21" t="s">
        <v>12</v>
      </c>
      <c r="T4" s="18" t="s">
        <v>13</v>
      </c>
      <c r="U4" s="19"/>
      <c r="V4" s="20"/>
      <c r="W4" s="22" t="s">
        <v>14</v>
      </c>
      <c r="X4" s="13" t="s">
        <v>15</v>
      </c>
      <c r="Y4" s="14"/>
      <c r="Z4" s="14"/>
      <c r="AA4" s="14"/>
      <c r="AB4" s="23"/>
    </row>
    <row r="5" spans="1:28" ht="24" customHeight="1">
      <c r="A5" s="24"/>
      <c r="B5" s="24"/>
      <c r="C5" s="24"/>
      <c r="D5" s="24"/>
      <c r="E5" s="24"/>
      <c r="F5" s="25" t="s">
        <v>16</v>
      </c>
      <c r="G5" s="26"/>
      <c r="H5" s="25" t="s">
        <v>17</v>
      </c>
      <c r="I5" s="26"/>
      <c r="J5" s="27" t="s">
        <v>18</v>
      </c>
      <c r="K5" s="21" t="s">
        <v>19</v>
      </c>
      <c r="L5" s="21" t="s">
        <v>20</v>
      </c>
      <c r="M5" s="28"/>
      <c r="N5" s="29"/>
      <c r="O5" s="29"/>
      <c r="P5" s="30"/>
      <c r="Q5" s="24"/>
      <c r="R5" s="31"/>
      <c r="S5" s="31"/>
      <c r="T5" s="28"/>
      <c r="U5" s="29"/>
      <c r="V5" s="30"/>
      <c r="W5" s="32"/>
      <c r="X5" s="27" t="s">
        <v>21</v>
      </c>
      <c r="Y5" s="27" t="s">
        <v>22</v>
      </c>
      <c r="Z5" s="13" t="s">
        <v>23</v>
      </c>
      <c r="AA5" s="15"/>
      <c r="AB5" s="33" t="s">
        <v>24</v>
      </c>
    </row>
    <row r="6" spans="1:28" ht="41.25">
      <c r="A6" s="34"/>
      <c r="B6" s="34"/>
      <c r="C6" s="34"/>
      <c r="D6" s="34"/>
      <c r="E6" s="34"/>
      <c r="F6" s="35" t="s">
        <v>19</v>
      </c>
      <c r="G6" s="35" t="s">
        <v>20</v>
      </c>
      <c r="H6" s="35" t="s">
        <v>19</v>
      </c>
      <c r="I6" s="35" t="s">
        <v>20</v>
      </c>
      <c r="J6" s="36"/>
      <c r="K6" s="37"/>
      <c r="L6" s="37"/>
      <c r="M6" s="38" t="s">
        <v>25</v>
      </c>
      <c r="N6" s="39" t="s">
        <v>26</v>
      </c>
      <c r="O6" s="39" t="s">
        <v>27</v>
      </c>
      <c r="P6" s="40" t="s">
        <v>24</v>
      </c>
      <c r="Q6" s="34"/>
      <c r="R6" s="37"/>
      <c r="S6" s="37"/>
      <c r="T6" s="41" t="s">
        <v>28</v>
      </c>
      <c r="U6" s="41" t="s">
        <v>29</v>
      </c>
      <c r="V6" s="40" t="s">
        <v>24</v>
      </c>
      <c r="W6" s="42"/>
      <c r="X6" s="36"/>
      <c r="Y6" s="36"/>
      <c r="Z6" s="39" t="s">
        <v>26</v>
      </c>
      <c r="AA6" s="39" t="s">
        <v>30</v>
      </c>
      <c r="AB6" s="43"/>
    </row>
    <row r="7" spans="1:28" ht="15">
      <c r="A7" s="44">
        <v>1</v>
      </c>
      <c r="B7" s="44">
        <v>2</v>
      </c>
      <c r="C7" s="39">
        <v>3</v>
      </c>
      <c r="D7" s="44">
        <v>4</v>
      </c>
      <c r="E7" s="44">
        <v>5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44">
        <v>13</v>
      </c>
      <c r="O7" s="44">
        <v>14</v>
      </c>
      <c r="P7" s="44">
        <v>15</v>
      </c>
      <c r="Q7" s="44">
        <v>16</v>
      </c>
      <c r="R7" s="45">
        <v>17</v>
      </c>
      <c r="S7" s="44">
        <v>18</v>
      </c>
      <c r="T7" s="44">
        <v>19</v>
      </c>
      <c r="U7" s="46">
        <v>20</v>
      </c>
      <c r="V7" s="44">
        <v>21</v>
      </c>
      <c r="W7" s="44">
        <v>22</v>
      </c>
      <c r="X7" s="44">
        <v>23</v>
      </c>
      <c r="Y7" s="44">
        <v>24</v>
      </c>
      <c r="Z7" s="44">
        <v>25</v>
      </c>
      <c r="AA7" s="44">
        <v>26</v>
      </c>
      <c r="AB7" s="44">
        <v>26</v>
      </c>
    </row>
    <row r="8" spans="1:34" ht="15">
      <c r="A8" s="47" t="s">
        <v>31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39"/>
      <c r="AH8" s="50"/>
    </row>
    <row r="9" spans="1:28" ht="22.5" customHeight="1">
      <c r="A9" s="51">
        <v>1</v>
      </c>
      <c r="B9" s="52" t="s">
        <v>32</v>
      </c>
      <c r="C9" s="53" t="s">
        <v>33</v>
      </c>
      <c r="D9" s="54">
        <v>12000</v>
      </c>
      <c r="E9" s="55">
        <v>16600</v>
      </c>
      <c r="F9" s="54">
        <v>93500</v>
      </c>
      <c r="G9" s="54">
        <v>16000</v>
      </c>
      <c r="H9" s="54">
        <v>5600</v>
      </c>
      <c r="I9" s="54">
        <v>18000</v>
      </c>
      <c r="J9" s="56">
        <f>SUM(F9:I9)</f>
        <v>133100</v>
      </c>
      <c r="K9" s="57">
        <v>1.01</v>
      </c>
      <c r="L9" s="57">
        <v>11.52</v>
      </c>
      <c r="M9" s="56">
        <f>ROUND((F9*K9)+(G9*L9),0)</f>
        <v>278755</v>
      </c>
      <c r="N9" s="56" t="s">
        <v>34</v>
      </c>
      <c r="O9" s="58" t="s">
        <v>34</v>
      </c>
      <c r="P9" s="59">
        <f>ROUND(IF(M10=0,0,100*N10/M10),1)</f>
        <v>56.5</v>
      </c>
      <c r="Q9" s="54">
        <v>75201</v>
      </c>
      <c r="R9" s="60">
        <f>100%-(Q9/J9*100%)</f>
        <v>0.4350037565740045</v>
      </c>
      <c r="S9" s="61">
        <v>11</v>
      </c>
      <c r="T9" s="62">
        <f>ROUND(Q9*S9,1)</f>
        <v>827211</v>
      </c>
      <c r="U9" s="63" t="s">
        <v>34</v>
      </c>
      <c r="V9" s="59">
        <f>ROUND(IF(T10=0,0,((U10+W10)/T10)*100),1)</f>
        <v>59</v>
      </c>
      <c r="W9" s="54">
        <v>16600</v>
      </c>
      <c r="X9" s="54">
        <v>19000</v>
      </c>
      <c r="Y9" s="54">
        <v>737200</v>
      </c>
      <c r="Z9" s="64" t="s">
        <v>34</v>
      </c>
      <c r="AA9" s="64" t="s">
        <v>34</v>
      </c>
      <c r="AB9" s="65">
        <f>ROUND(IF(Y10=0,0,((Z10/Y10)*100)),1)</f>
        <v>96.6</v>
      </c>
    </row>
    <row r="10" spans="1:28" ht="22.5" customHeight="1">
      <c r="A10" s="66"/>
      <c r="B10" s="52"/>
      <c r="C10" s="67" t="s">
        <v>35</v>
      </c>
      <c r="D10" s="68">
        <v>10477</v>
      </c>
      <c r="E10" s="69">
        <v>14442</v>
      </c>
      <c r="F10" s="69">
        <v>68299.6</v>
      </c>
      <c r="G10" s="69">
        <v>48581.8</v>
      </c>
      <c r="H10" s="70">
        <v>5481.5</v>
      </c>
      <c r="I10" s="70">
        <v>17222.5</v>
      </c>
      <c r="J10" s="71">
        <f>SUM(F10:I10)</f>
        <v>139585.40000000002</v>
      </c>
      <c r="K10" s="72">
        <v>1.01</v>
      </c>
      <c r="L10" s="72">
        <v>11.52</v>
      </c>
      <c r="M10" s="71">
        <f>ROUND((F10*K10)+(G10*L10),0)</f>
        <v>628645</v>
      </c>
      <c r="N10" s="71">
        <v>355200</v>
      </c>
      <c r="O10" s="71">
        <v>23000</v>
      </c>
      <c r="P10" s="73"/>
      <c r="Q10" s="71">
        <v>78865.92</v>
      </c>
      <c r="R10" s="74">
        <f>100%-(Q10/J10*100%)</f>
        <v>0.43499878927165747</v>
      </c>
      <c r="S10" s="72">
        <v>11</v>
      </c>
      <c r="T10" s="71">
        <f>Q10*11</f>
        <v>867525.12</v>
      </c>
      <c r="U10" s="75">
        <v>496862.4</v>
      </c>
      <c r="V10" s="73"/>
      <c r="W10" s="76">
        <v>14748.6</v>
      </c>
      <c r="X10" s="76">
        <v>17941.27</v>
      </c>
      <c r="Y10" s="76">
        <v>678179.9</v>
      </c>
      <c r="Z10" s="76">
        <v>654900</v>
      </c>
      <c r="AA10" s="76">
        <v>0</v>
      </c>
      <c r="AB10" s="77"/>
    </row>
    <row r="11" spans="1:28" ht="22.5" customHeight="1">
      <c r="A11" s="78"/>
      <c r="B11" s="52"/>
      <c r="C11" s="79" t="s">
        <v>36</v>
      </c>
      <c r="D11" s="80">
        <f aca="true" t="shared" si="0" ref="D11:J11">D9-D10</f>
        <v>1523</v>
      </c>
      <c r="E11" s="80">
        <f t="shared" si="0"/>
        <v>2158</v>
      </c>
      <c r="F11" s="80">
        <f t="shared" si="0"/>
        <v>25200.399999999994</v>
      </c>
      <c r="G11" s="80">
        <f t="shared" si="0"/>
        <v>-32581.800000000003</v>
      </c>
      <c r="H11" s="80">
        <f t="shared" si="0"/>
        <v>118.5</v>
      </c>
      <c r="I11" s="80">
        <f t="shared" si="0"/>
        <v>777.5</v>
      </c>
      <c r="J11" s="80">
        <f t="shared" si="0"/>
        <v>-6485.400000000023</v>
      </c>
      <c r="K11" s="81">
        <f>K9</f>
        <v>1.01</v>
      </c>
      <c r="L11" s="81">
        <f>L9</f>
        <v>11.52</v>
      </c>
      <c r="M11" s="80">
        <f>M9-M10</f>
        <v>-349890</v>
      </c>
      <c r="N11" s="82">
        <f>M10-N10</f>
        <v>273445</v>
      </c>
      <c r="O11" s="83"/>
      <c r="P11" s="84"/>
      <c r="Q11" s="80">
        <f>Q9-Q10</f>
        <v>-3664.9199999999983</v>
      </c>
      <c r="R11" s="60"/>
      <c r="S11" s="81"/>
      <c r="T11" s="62">
        <f>T9-T10</f>
        <v>-40314.119999999995</v>
      </c>
      <c r="U11" s="85">
        <f>T10-U10</f>
        <v>370662.72</v>
      </c>
      <c r="V11" s="84"/>
      <c r="W11" s="86">
        <f>W9-W10</f>
        <v>1851.3999999999996</v>
      </c>
      <c r="X11" s="86">
        <f>X9-X10</f>
        <v>1058.7299999999996</v>
      </c>
      <c r="Y11" s="86">
        <f>Y9-Y10</f>
        <v>59020.09999999998</v>
      </c>
      <c r="Z11" s="87">
        <f>Y10-Z10</f>
        <v>23279.900000000023</v>
      </c>
      <c r="AA11" s="87"/>
      <c r="AB11" s="88"/>
    </row>
    <row r="12" spans="1:28" ht="22.5" customHeight="1">
      <c r="A12" s="51">
        <f>A9+1</f>
        <v>2</v>
      </c>
      <c r="B12" s="89" t="s">
        <v>37</v>
      </c>
      <c r="C12" s="53" t="s">
        <v>33</v>
      </c>
      <c r="D12" s="54">
        <v>7759.4</v>
      </c>
      <c r="E12" s="55">
        <v>3700</v>
      </c>
      <c r="F12" s="54">
        <v>1784.4</v>
      </c>
      <c r="G12" s="54">
        <v>0</v>
      </c>
      <c r="H12" s="54">
        <v>441.3</v>
      </c>
      <c r="I12" s="54">
        <v>44004.1</v>
      </c>
      <c r="J12" s="56">
        <f>SUM(F12:I12)</f>
        <v>46229.799999999996</v>
      </c>
      <c r="K12" s="57">
        <v>1.01</v>
      </c>
      <c r="L12" s="57">
        <v>11.52</v>
      </c>
      <c r="M12" s="56">
        <f>ROUND((F12*K12)+(G12*L12),0)</f>
        <v>1802</v>
      </c>
      <c r="N12" s="56" t="s">
        <v>34</v>
      </c>
      <c r="O12" s="58" t="s">
        <v>34</v>
      </c>
      <c r="P12" s="59">
        <f>ROUND(IF(M13=0,0,100*N13/M13),1)</f>
        <v>0</v>
      </c>
      <c r="Q12" s="54">
        <v>30049.5</v>
      </c>
      <c r="R12" s="60">
        <f>100%-(Q12/J12*100%)</f>
        <v>0.3499971879610121</v>
      </c>
      <c r="S12" s="57">
        <v>11</v>
      </c>
      <c r="T12" s="62">
        <f>ROUND(Q12*S12,1)</f>
        <v>330544.5</v>
      </c>
      <c r="U12" s="63" t="s">
        <v>34</v>
      </c>
      <c r="V12" s="59">
        <f>ROUND(IF(T13=0,0,((U13+W13)/T13)*100),1)</f>
        <v>93.7</v>
      </c>
      <c r="W12" s="54">
        <v>7759</v>
      </c>
      <c r="X12" s="54">
        <v>16892.3</v>
      </c>
      <c r="Y12" s="54">
        <v>650354</v>
      </c>
      <c r="Z12" s="87" t="s">
        <v>34</v>
      </c>
      <c r="AA12" s="87" t="s">
        <v>34</v>
      </c>
      <c r="AB12" s="65">
        <f>ROUND(IF(Y13=0,0,((Z13/Y13)*100)),1)</f>
        <v>99.6</v>
      </c>
    </row>
    <row r="13" spans="1:28" ht="22.5" customHeight="1">
      <c r="A13" s="66"/>
      <c r="B13" s="90"/>
      <c r="C13" s="67" t="s">
        <v>35</v>
      </c>
      <c r="D13" s="68">
        <v>7864.35</v>
      </c>
      <c r="E13" s="69">
        <v>3621</v>
      </c>
      <c r="F13" s="69">
        <v>1466.23</v>
      </c>
      <c r="G13" s="69">
        <v>0</v>
      </c>
      <c r="H13" s="70">
        <v>367.08</v>
      </c>
      <c r="I13" s="70">
        <v>46961.9</v>
      </c>
      <c r="J13" s="71">
        <f>SUM(F13:I13)</f>
        <v>48795.21</v>
      </c>
      <c r="K13" s="72">
        <v>1.01</v>
      </c>
      <c r="L13" s="72">
        <v>11.52</v>
      </c>
      <c r="M13" s="71">
        <f>ROUND((F13*K13)+(G13*L13),0)</f>
        <v>1481</v>
      </c>
      <c r="N13" s="71">
        <v>0</v>
      </c>
      <c r="O13" s="71">
        <v>0</v>
      </c>
      <c r="P13" s="73"/>
      <c r="Q13" s="71">
        <v>32677.9</v>
      </c>
      <c r="R13" s="74">
        <f>100%-(Q13/J13*100%)</f>
        <v>0.3303051672489984</v>
      </c>
      <c r="S13" s="72">
        <v>11</v>
      </c>
      <c r="T13" s="71">
        <v>357374.8</v>
      </c>
      <c r="U13" s="76">
        <v>328929.4</v>
      </c>
      <c r="V13" s="73"/>
      <c r="W13" s="76">
        <v>5868</v>
      </c>
      <c r="X13" s="76">
        <v>18448.08</v>
      </c>
      <c r="Y13" s="76">
        <v>711081.2</v>
      </c>
      <c r="Z13" s="76">
        <v>708500</v>
      </c>
      <c r="AA13" s="76">
        <v>20000</v>
      </c>
      <c r="AB13" s="77"/>
    </row>
    <row r="14" spans="1:28" ht="22.5" customHeight="1">
      <c r="A14" s="78"/>
      <c r="B14" s="91"/>
      <c r="C14" s="79" t="s">
        <v>36</v>
      </c>
      <c r="D14" s="80">
        <f aca="true" t="shared" si="1" ref="D14:J14">D12-D13</f>
        <v>-104.95000000000073</v>
      </c>
      <c r="E14" s="80">
        <f t="shared" si="1"/>
        <v>79</v>
      </c>
      <c r="F14" s="80">
        <f t="shared" si="1"/>
        <v>318.1700000000001</v>
      </c>
      <c r="G14" s="80">
        <f t="shared" si="1"/>
        <v>0</v>
      </c>
      <c r="H14" s="80">
        <f t="shared" si="1"/>
        <v>74.22000000000003</v>
      </c>
      <c r="I14" s="80">
        <f t="shared" si="1"/>
        <v>-2957.800000000003</v>
      </c>
      <c r="J14" s="80">
        <f t="shared" si="1"/>
        <v>-2565.4100000000035</v>
      </c>
      <c r="K14" s="81">
        <f>K12</f>
        <v>1.01</v>
      </c>
      <c r="L14" s="81">
        <f>L12</f>
        <v>11.52</v>
      </c>
      <c r="M14" s="80">
        <f>M12-M13</f>
        <v>321</v>
      </c>
      <c r="N14" s="82">
        <f>M13-N13</f>
        <v>1481</v>
      </c>
      <c r="O14" s="83"/>
      <c r="P14" s="84"/>
      <c r="Q14" s="80">
        <f>Q12-Q13</f>
        <v>-2628.4000000000015</v>
      </c>
      <c r="R14" s="60"/>
      <c r="S14" s="81"/>
      <c r="T14" s="62">
        <f>T12-T13</f>
        <v>-26830.29999999999</v>
      </c>
      <c r="U14" s="85">
        <f>T13-U13</f>
        <v>28445.399999999965</v>
      </c>
      <c r="V14" s="84"/>
      <c r="W14" s="86">
        <f>W12-W13</f>
        <v>1891</v>
      </c>
      <c r="X14" s="86">
        <f>X12-X13</f>
        <v>-1555.7800000000025</v>
      </c>
      <c r="Y14" s="86">
        <f>Y12-Y13</f>
        <v>-60727.19999999995</v>
      </c>
      <c r="Z14" s="87">
        <f>Y13-Z13</f>
        <v>2581.1999999999534</v>
      </c>
      <c r="AA14" s="87"/>
      <c r="AB14" s="88"/>
    </row>
    <row r="15" spans="1:28" ht="22.5" customHeight="1">
      <c r="A15" s="51">
        <v>3</v>
      </c>
      <c r="B15" s="89" t="s">
        <v>38</v>
      </c>
      <c r="C15" s="53" t="s">
        <v>33</v>
      </c>
      <c r="D15" s="54">
        <v>3500</v>
      </c>
      <c r="E15" s="62">
        <v>10900</v>
      </c>
      <c r="F15" s="54">
        <v>38000</v>
      </c>
      <c r="G15" s="54">
        <v>3200</v>
      </c>
      <c r="H15" s="54">
        <v>800</v>
      </c>
      <c r="I15" s="54">
        <v>7000</v>
      </c>
      <c r="J15" s="82">
        <f>SUM(F15:I15)</f>
        <v>49000</v>
      </c>
      <c r="K15" s="57">
        <v>1.01</v>
      </c>
      <c r="L15" s="57">
        <v>11.52</v>
      </c>
      <c r="M15" s="56">
        <f>ROUND((F15*K15)+(G15*L15),0)</f>
        <v>75244</v>
      </c>
      <c r="N15" s="56" t="s">
        <v>34</v>
      </c>
      <c r="O15" s="58" t="s">
        <v>34</v>
      </c>
      <c r="P15" s="59">
        <f>ROUND(IF(M16=0,0,100*N16/M16),1)</f>
        <v>48.2</v>
      </c>
      <c r="Q15" s="54">
        <v>29400</v>
      </c>
      <c r="R15" s="60">
        <f>100%-(Q15/J15*100%)</f>
        <v>0.4</v>
      </c>
      <c r="S15" s="57">
        <v>11</v>
      </c>
      <c r="T15" s="62">
        <f>ROUND(Q15*S15,1)</f>
        <v>323400</v>
      </c>
      <c r="U15" s="63" t="s">
        <v>34</v>
      </c>
      <c r="V15" s="59">
        <f>ROUND(IF(T16=0,0,((U16+W16)/T16)*100),1)</f>
        <v>64.4</v>
      </c>
      <c r="W15" s="54">
        <v>7000</v>
      </c>
      <c r="X15" s="54">
        <v>3300</v>
      </c>
      <c r="Y15" s="54">
        <v>134640</v>
      </c>
      <c r="Z15" s="87" t="s">
        <v>34</v>
      </c>
      <c r="AA15" s="87" t="s">
        <v>34</v>
      </c>
      <c r="AB15" s="65">
        <f>ROUND(IF(Y16=0,0,((Z16/Y16)*100)),1)</f>
        <v>93.8</v>
      </c>
    </row>
    <row r="16" spans="1:28" ht="22.5" customHeight="1">
      <c r="A16" s="66"/>
      <c r="B16" s="90"/>
      <c r="C16" s="67" t="s">
        <v>35</v>
      </c>
      <c r="D16" s="68">
        <v>3190</v>
      </c>
      <c r="E16" s="69">
        <v>10745</v>
      </c>
      <c r="F16" s="69">
        <v>30315</v>
      </c>
      <c r="G16" s="69">
        <v>2691</v>
      </c>
      <c r="H16" s="70">
        <v>853</v>
      </c>
      <c r="I16" s="70">
        <v>6174</v>
      </c>
      <c r="J16" s="71">
        <f>SUM(F16:I16)</f>
        <v>40033</v>
      </c>
      <c r="K16" s="72">
        <v>1.01</v>
      </c>
      <c r="L16" s="72">
        <v>11.52</v>
      </c>
      <c r="M16" s="71">
        <f>ROUND((F16*K16)+(G16*L16),0)</f>
        <v>61618</v>
      </c>
      <c r="N16" s="71">
        <v>29700</v>
      </c>
      <c r="O16" s="71">
        <v>4700</v>
      </c>
      <c r="P16" s="73"/>
      <c r="Q16" s="71">
        <v>24019.8</v>
      </c>
      <c r="R16" s="74">
        <f>100%-(Q16/J16*100%)</f>
        <v>0.4</v>
      </c>
      <c r="S16" s="72">
        <v>11</v>
      </c>
      <c r="T16" s="71">
        <f>Q16*11</f>
        <v>264217.8</v>
      </c>
      <c r="U16" s="76">
        <v>165694</v>
      </c>
      <c r="V16" s="73"/>
      <c r="W16" s="76">
        <v>4422</v>
      </c>
      <c r="X16" s="76">
        <v>2820</v>
      </c>
      <c r="Y16" s="76">
        <v>116029</v>
      </c>
      <c r="Z16" s="76">
        <v>108800</v>
      </c>
      <c r="AA16" s="76">
        <v>0</v>
      </c>
      <c r="AB16" s="77"/>
    </row>
    <row r="17" spans="1:28" ht="22.5" customHeight="1">
      <c r="A17" s="78"/>
      <c r="B17" s="91"/>
      <c r="C17" s="79" t="s">
        <v>36</v>
      </c>
      <c r="D17" s="62">
        <f aca="true" t="shared" si="2" ref="D17:J17">D15-D16</f>
        <v>310</v>
      </c>
      <c r="E17" s="62">
        <f t="shared" si="2"/>
        <v>155</v>
      </c>
      <c r="F17" s="80">
        <f t="shared" si="2"/>
        <v>7685</v>
      </c>
      <c r="G17" s="80">
        <f t="shared" si="2"/>
        <v>509</v>
      </c>
      <c r="H17" s="80">
        <f t="shared" si="2"/>
        <v>-53</v>
      </c>
      <c r="I17" s="80">
        <f t="shared" si="2"/>
        <v>826</v>
      </c>
      <c r="J17" s="80">
        <f t="shared" si="2"/>
        <v>8967</v>
      </c>
      <c r="K17" s="81">
        <f>K15</f>
        <v>1.01</v>
      </c>
      <c r="L17" s="81">
        <f>L15</f>
        <v>11.52</v>
      </c>
      <c r="M17" s="80">
        <f>M15-M16</f>
        <v>13626</v>
      </c>
      <c r="N17" s="82">
        <f>M16-N16</f>
        <v>31918</v>
      </c>
      <c r="O17" s="83"/>
      <c r="P17" s="84"/>
      <c r="Q17" s="80">
        <f>Q15-Q16</f>
        <v>5380.200000000001</v>
      </c>
      <c r="R17" s="60"/>
      <c r="S17" s="81"/>
      <c r="T17" s="62">
        <f>T15-T16</f>
        <v>59182.20000000001</v>
      </c>
      <c r="U17" s="85">
        <f>T16-U16</f>
        <v>98523.79999999999</v>
      </c>
      <c r="V17" s="84"/>
      <c r="W17" s="86">
        <f>W15-W16</f>
        <v>2578</v>
      </c>
      <c r="X17" s="86">
        <f>X15-X16</f>
        <v>480</v>
      </c>
      <c r="Y17" s="86">
        <f>Y15-Y16</f>
        <v>18611</v>
      </c>
      <c r="Z17" s="86"/>
      <c r="AA17" s="87"/>
      <c r="AB17" s="88"/>
    </row>
    <row r="18" spans="1:28" ht="22.5" customHeight="1">
      <c r="A18" s="51">
        <v>4</v>
      </c>
      <c r="B18" s="89" t="s">
        <v>39</v>
      </c>
      <c r="C18" s="53" t="s">
        <v>33</v>
      </c>
      <c r="D18" s="80">
        <v>9300</v>
      </c>
      <c r="E18" s="55">
        <v>11250</v>
      </c>
      <c r="F18" s="92">
        <v>90600</v>
      </c>
      <c r="G18" s="92">
        <v>38100</v>
      </c>
      <c r="H18" s="92">
        <v>0</v>
      </c>
      <c r="I18" s="92">
        <v>34500</v>
      </c>
      <c r="J18" s="82">
        <f>SUM(F18:I18)</f>
        <v>163200</v>
      </c>
      <c r="K18" s="57">
        <v>1.01</v>
      </c>
      <c r="L18" s="57">
        <v>11.52</v>
      </c>
      <c r="M18" s="56">
        <f>ROUND((F18*K18)+(G18*L18),0)</f>
        <v>530418</v>
      </c>
      <c r="N18" s="56" t="s">
        <v>34</v>
      </c>
      <c r="O18" s="58"/>
      <c r="P18" s="93">
        <f>ROUND(IF(M19=0,0,100*N19/M19),0)</f>
        <v>37</v>
      </c>
      <c r="Q18" s="92">
        <v>91126</v>
      </c>
      <c r="R18" s="60">
        <f>100%-(Q18/J18*100%)</f>
        <v>0.44162990196078433</v>
      </c>
      <c r="S18" s="94">
        <v>11</v>
      </c>
      <c r="T18" s="62">
        <f>ROUND(Q18*S18,1)</f>
        <v>1002386</v>
      </c>
      <c r="U18" s="63" t="s">
        <v>34</v>
      </c>
      <c r="V18" s="59">
        <f>ROUND(IF(T19=0,0,((U19+W19)/T19)*100),1)</f>
        <v>31</v>
      </c>
      <c r="W18" s="92">
        <v>11250</v>
      </c>
      <c r="X18" s="62">
        <v>18500</v>
      </c>
      <c r="Y18" s="62">
        <v>741850</v>
      </c>
      <c r="Z18" s="87" t="s">
        <v>34</v>
      </c>
      <c r="AA18" s="87" t="s">
        <v>34</v>
      </c>
      <c r="AB18" s="95">
        <f>ROUND(IF(Y19=0,0,100*Z19/Y19),0)</f>
        <v>97</v>
      </c>
    </row>
    <row r="19" spans="1:28" ht="22.5" customHeight="1">
      <c r="A19" s="66"/>
      <c r="B19" s="90"/>
      <c r="C19" s="67" t="s">
        <v>35</v>
      </c>
      <c r="D19" s="96">
        <v>8407</v>
      </c>
      <c r="E19" s="69">
        <v>8446</v>
      </c>
      <c r="F19" s="97">
        <v>91778</v>
      </c>
      <c r="G19" s="97">
        <v>44160</v>
      </c>
      <c r="H19" s="98">
        <v>0</v>
      </c>
      <c r="I19" s="98">
        <v>43141</v>
      </c>
      <c r="J19" s="71">
        <f>SUM(F19:I19)</f>
        <v>179079</v>
      </c>
      <c r="K19" s="72">
        <f>K18</f>
        <v>1.01</v>
      </c>
      <c r="L19" s="72">
        <f>L18</f>
        <v>11.52</v>
      </c>
      <c r="M19" s="56">
        <f>ROUND((F19*K19)+(G19*L19),0)</f>
        <v>601419</v>
      </c>
      <c r="N19" s="71">
        <v>224000</v>
      </c>
      <c r="O19" s="71">
        <v>17100</v>
      </c>
      <c r="P19" s="99"/>
      <c r="Q19" s="71">
        <v>101358.66</v>
      </c>
      <c r="R19" s="74">
        <f>100%-(Q19/J19*100%)</f>
        <v>0.4340003015428945</v>
      </c>
      <c r="S19" s="100">
        <v>11</v>
      </c>
      <c r="T19" s="71">
        <f>Q19*11</f>
        <v>1114945.26</v>
      </c>
      <c r="U19" s="76">
        <v>344798.4</v>
      </c>
      <c r="V19" s="73"/>
      <c r="W19" s="76">
        <v>480.55</v>
      </c>
      <c r="X19" s="101">
        <v>19337.6</v>
      </c>
      <c r="Y19" s="101">
        <v>772151</v>
      </c>
      <c r="Z19" s="101">
        <v>749000</v>
      </c>
      <c r="AA19" s="101">
        <v>0</v>
      </c>
      <c r="AB19" s="102"/>
    </row>
    <row r="20" spans="1:28" ht="22.5" customHeight="1">
      <c r="A20" s="78"/>
      <c r="B20" s="91"/>
      <c r="C20" s="79" t="s">
        <v>36</v>
      </c>
      <c r="D20" s="62">
        <f>D18-D19</f>
        <v>893</v>
      </c>
      <c r="E20" s="62">
        <f>E18-E19</f>
        <v>2804</v>
      </c>
      <c r="F20" s="62">
        <f>F18-F19</f>
        <v>-1178</v>
      </c>
      <c r="G20" s="62">
        <f>G18-G19</f>
        <v>-6060</v>
      </c>
      <c r="H20" s="62">
        <f>H18-H19</f>
        <v>0</v>
      </c>
      <c r="I20" s="62">
        <f>I18-I19</f>
        <v>-8641</v>
      </c>
      <c r="J20" s="62">
        <f>J18-J19</f>
        <v>-15879</v>
      </c>
      <c r="K20" s="57">
        <f>K18</f>
        <v>1.01</v>
      </c>
      <c r="L20" s="57">
        <f>L18</f>
        <v>11.52</v>
      </c>
      <c r="M20" s="56">
        <f>M18-M19</f>
        <v>-71001</v>
      </c>
      <c r="N20" s="56">
        <f>M19-N19</f>
        <v>377419</v>
      </c>
      <c r="O20" s="58"/>
      <c r="P20" s="103"/>
      <c r="Q20" s="92">
        <f>Q18-Q19</f>
        <v>-10232.660000000003</v>
      </c>
      <c r="R20" s="60"/>
      <c r="S20" s="94"/>
      <c r="T20" s="62">
        <f>T18-T19</f>
        <v>-112559.26000000001</v>
      </c>
      <c r="U20" s="63">
        <f>T19-U19</f>
        <v>770146.86</v>
      </c>
      <c r="V20" s="84"/>
      <c r="W20" s="62">
        <f>W18-W19</f>
        <v>10769.45</v>
      </c>
      <c r="X20" s="62">
        <f>X18-X19</f>
        <v>-837.5999999999985</v>
      </c>
      <c r="Y20" s="62">
        <f>Y18-Y19</f>
        <v>-30301</v>
      </c>
      <c r="Z20" s="87">
        <f>Y19-Z19</f>
        <v>23151</v>
      </c>
      <c r="AA20" s="87"/>
      <c r="AB20" s="104"/>
    </row>
    <row r="21" spans="1:28" ht="22.5" customHeight="1">
      <c r="A21" s="51">
        <v>5</v>
      </c>
      <c r="B21" s="89" t="s">
        <v>40</v>
      </c>
      <c r="C21" s="53" t="s">
        <v>33</v>
      </c>
      <c r="D21" s="54">
        <v>11600</v>
      </c>
      <c r="E21" s="62">
        <v>22839</v>
      </c>
      <c r="F21" s="54">
        <v>61886</v>
      </c>
      <c r="G21" s="54">
        <v>2000</v>
      </c>
      <c r="H21" s="54">
        <v>3102.9</v>
      </c>
      <c r="I21" s="54">
        <v>2500</v>
      </c>
      <c r="J21" s="82">
        <f>SUM(F21:I21)</f>
        <v>69488.9</v>
      </c>
      <c r="K21" s="57">
        <v>1.01</v>
      </c>
      <c r="L21" s="57">
        <v>11.52</v>
      </c>
      <c r="M21" s="56">
        <f>ROUND((F21*K21)+(G21*L21),0)</f>
        <v>85545</v>
      </c>
      <c r="N21" s="56" t="s">
        <v>34</v>
      </c>
      <c r="O21" s="58" t="s">
        <v>34</v>
      </c>
      <c r="P21" s="59">
        <f>ROUND(IF(M22=0,0,100*N22/M22),1)</f>
        <v>14.3</v>
      </c>
      <c r="Q21" s="54">
        <v>41068</v>
      </c>
      <c r="R21" s="60">
        <f>100%-(Q21/J21*100%)</f>
        <v>0.4089991351136656</v>
      </c>
      <c r="S21" s="57">
        <v>11</v>
      </c>
      <c r="T21" s="105">
        <v>429581</v>
      </c>
      <c r="U21" s="63" t="s">
        <v>34</v>
      </c>
      <c r="V21" s="59">
        <f>ROUND(IF(T22=0,0,((U22+W22)/T22)*100),1)</f>
        <v>69.6</v>
      </c>
      <c r="W21" s="54">
        <v>22839</v>
      </c>
      <c r="X21" s="54">
        <v>5410</v>
      </c>
      <c r="Y21" s="54">
        <v>227165.9</v>
      </c>
      <c r="Z21" s="87" t="s">
        <v>34</v>
      </c>
      <c r="AA21" s="87" t="s">
        <v>34</v>
      </c>
      <c r="AB21" s="65">
        <f>ROUND(IF(Y22=0,0,((Z22/Y22)*100)),1)</f>
        <v>55.2</v>
      </c>
    </row>
    <row r="22" spans="1:28" ht="22.5" customHeight="1">
      <c r="A22" s="66"/>
      <c r="B22" s="90"/>
      <c r="C22" s="67" t="s">
        <v>35</v>
      </c>
      <c r="D22" s="68">
        <v>11509.7</v>
      </c>
      <c r="E22" s="106">
        <v>20903</v>
      </c>
      <c r="F22" s="97">
        <v>58465.6</v>
      </c>
      <c r="G22" s="97">
        <v>1263.9</v>
      </c>
      <c r="H22" s="98">
        <v>1985.9</v>
      </c>
      <c r="I22" s="98">
        <v>2170.1</v>
      </c>
      <c r="J22" s="71">
        <f>SUM(F22:I22)</f>
        <v>63885.5</v>
      </c>
      <c r="K22" s="72">
        <v>1.01</v>
      </c>
      <c r="L22" s="72">
        <v>11.52</v>
      </c>
      <c r="M22" s="71">
        <f>ROUND((F22*K22)+(G22*L22),0)</f>
        <v>73610</v>
      </c>
      <c r="N22" s="71">
        <v>10500</v>
      </c>
      <c r="O22" s="71">
        <v>10500</v>
      </c>
      <c r="P22" s="73"/>
      <c r="Q22" s="71">
        <v>37900.6</v>
      </c>
      <c r="R22" s="74">
        <f>100%-(Q22/J22*100%)</f>
        <v>0.4067417489101596</v>
      </c>
      <c r="S22" s="72">
        <v>11</v>
      </c>
      <c r="T22" s="71">
        <v>400440.7</v>
      </c>
      <c r="U22" s="76">
        <v>271312.8</v>
      </c>
      <c r="V22" s="73"/>
      <c r="W22" s="76">
        <v>7587.9</v>
      </c>
      <c r="X22" s="101">
        <v>5408.58</v>
      </c>
      <c r="Y22" s="101">
        <v>226388.3</v>
      </c>
      <c r="Z22" s="101">
        <v>125000</v>
      </c>
      <c r="AA22" s="101">
        <v>125000</v>
      </c>
      <c r="AB22" s="77"/>
    </row>
    <row r="23" spans="1:28" ht="22.5" customHeight="1">
      <c r="A23" s="78"/>
      <c r="B23" s="91"/>
      <c r="C23" s="79" t="s">
        <v>36</v>
      </c>
      <c r="D23" s="62">
        <f aca="true" t="shared" si="3" ref="D23:J23">D21-D22</f>
        <v>90.29999999999927</v>
      </c>
      <c r="E23" s="62">
        <f t="shared" si="3"/>
        <v>1936</v>
      </c>
      <c r="F23" s="80">
        <f t="shared" si="3"/>
        <v>3420.4000000000015</v>
      </c>
      <c r="G23" s="80">
        <f t="shared" si="3"/>
        <v>736.0999999999999</v>
      </c>
      <c r="H23" s="80">
        <f t="shared" si="3"/>
        <v>1117</v>
      </c>
      <c r="I23" s="80">
        <f t="shared" si="3"/>
        <v>329.9000000000001</v>
      </c>
      <c r="J23" s="80">
        <f t="shared" si="3"/>
        <v>5603.399999999994</v>
      </c>
      <c r="K23" s="81">
        <f>K21</f>
        <v>1.01</v>
      </c>
      <c r="L23" s="81">
        <f>L21</f>
        <v>11.52</v>
      </c>
      <c r="M23" s="80">
        <f>M21-M22</f>
        <v>11935</v>
      </c>
      <c r="N23" s="82">
        <f>M22-N22</f>
        <v>63110</v>
      </c>
      <c r="O23" s="83"/>
      <c r="P23" s="84"/>
      <c r="Q23" s="80">
        <f>Q21-Q22</f>
        <v>3167.4000000000015</v>
      </c>
      <c r="R23" s="60"/>
      <c r="S23" s="81"/>
      <c r="T23" s="62">
        <f>T21-T22</f>
        <v>29140.29999999999</v>
      </c>
      <c r="U23" s="85">
        <f>T22-U22</f>
        <v>129127.90000000002</v>
      </c>
      <c r="V23" s="84"/>
      <c r="W23" s="86">
        <f>W21-W22</f>
        <v>15251.1</v>
      </c>
      <c r="X23" s="86">
        <f>X21-X22</f>
        <v>1.4200000000000728</v>
      </c>
      <c r="Y23" s="86">
        <f>Y21-Y22</f>
        <v>777.6000000000058</v>
      </c>
      <c r="Z23" s="87">
        <f>Y22-Z22</f>
        <v>101388.29999999999</v>
      </c>
      <c r="AA23" s="87"/>
      <c r="AB23" s="88"/>
    </row>
    <row r="24" spans="1:28" ht="22.5" customHeight="1">
      <c r="A24" s="51">
        <v>6</v>
      </c>
      <c r="B24" s="89" t="s">
        <v>41</v>
      </c>
      <c r="C24" s="53" t="s">
        <v>33</v>
      </c>
      <c r="D24" s="54">
        <v>10500</v>
      </c>
      <c r="E24" s="55">
        <v>15820</v>
      </c>
      <c r="F24" s="62">
        <v>102000</v>
      </c>
      <c r="G24" s="62">
        <v>0</v>
      </c>
      <c r="H24" s="62">
        <v>1500</v>
      </c>
      <c r="I24" s="62">
        <v>0</v>
      </c>
      <c r="J24" s="82">
        <f>SUM(F24:I24)</f>
        <v>103500</v>
      </c>
      <c r="K24" s="57">
        <v>1.01</v>
      </c>
      <c r="L24" s="57">
        <v>11.52</v>
      </c>
      <c r="M24" s="56">
        <f>ROUND((F24*K24)+(G24*L24),0)</f>
        <v>103020</v>
      </c>
      <c r="N24" s="56" t="s">
        <v>34</v>
      </c>
      <c r="O24" s="58" t="s">
        <v>34</v>
      </c>
      <c r="P24" s="59">
        <f>ROUND(IF(M25=0,0,100*N25/M25),1)</f>
        <v>23.3</v>
      </c>
      <c r="Q24" s="62">
        <v>56718</v>
      </c>
      <c r="R24" s="60">
        <f>100%-(Q24/J24*100%)</f>
        <v>0.45199999999999996</v>
      </c>
      <c r="S24" s="57">
        <v>11</v>
      </c>
      <c r="T24" s="62">
        <f>ROUND(Q24*S24,1)</f>
        <v>623898</v>
      </c>
      <c r="U24" s="63" t="s">
        <v>34</v>
      </c>
      <c r="V24" s="59">
        <f>ROUND(IF(T25=0,0,((U25+W25)/T25)*100),1)</f>
        <v>42.3</v>
      </c>
      <c r="W24" s="92">
        <v>15820</v>
      </c>
      <c r="X24" s="62">
        <v>1570</v>
      </c>
      <c r="Y24" s="62">
        <v>64213</v>
      </c>
      <c r="Z24" s="87" t="s">
        <v>34</v>
      </c>
      <c r="AA24" s="87" t="s">
        <v>34</v>
      </c>
      <c r="AB24" s="65">
        <f>ROUND(IF(Y25=0,0,((Z25/Y25)*100)),1)</f>
        <v>0</v>
      </c>
    </row>
    <row r="25" spans="1:28" ht="22.5" customHeight="1">
      <c r="A25" s="66"/>
      <c r="B25" s="90"/>
      <c r="C25" s="67" t="s">
        <v>35</v>
      </c>
      <c r="D25" s="96">
        <v>9653</v>
      </c>
      <c r="E25" s="69">
        <v>12228</v>
      </c>
      <c r="F25" s="69">
        <v>114576.8</v>
      </c>
      <c r="G25" s="69">
        <v>0</v>
      </c>
      <c r="H25" s="70">
        <v>261.3</v>
      </c>
      <c r="I25" s="70">
        <v>0</v>
      </c>
      <c r="J25" s="71">
        <f>SUM(F25:I25)</f>
        <v>114838.1</v>
      </c>
      <c r="K25" s="72">
        <v>1.01</v>
      </c>
      <c r="L25" s="72">
        <v>11.52</v>
      </c>
      <c r="M25" s="71">
        <f>ROUND((F25*K25)+(G25*L25),0)</f>
        <v>115723</v>
      </c>
      <c r="N25" s="71">
        <v>26954.3</v>
      </c>
      <c r="O25" s="71">
        <v>5681</v>
      </c>
      <c r="P25" s="73"/>
      <c r="Q25" s="71">
        <v>62563.4</v>
      </c>
      <c r="R25" s="74">
        <f>100%-(Q25/J25*100%)</f>
        <v>0.45520345599587597</v>
      </c>
      <c r="S25" s="72">
        <v>11</v>
      </c>
      <c r="T25" s="71">
        <f>Q25*11</f>
        <v>688197.4</v>
      </c>
      <c r="U25" s="76">
        <v>291081</v>
      </c>
      <c r="V25" s="73"/>
      <c r="W25" s="76">
        <v>0</v>
      </c>
      <c r="X25" s="76">
        <v>2208</v>
      </c>
      <c r="Y25" s="76">
        <v>84000</v>
      </c>
      <c r="Z25" s="76">
        <v>0</v>
      </c>
      <c r="AA25" s="76">
        <v>0</v>
      </c>
      <c r="AB25" s="77"/>
    </row>
    <row r="26" spans="1:28" ht="22.5" customHeight="1">
      <c r="A26" s="78"/>
      <c r="B26" s="91"/>
      <c r="C26" s="79" t="s">
        <v>36</v>
      </c>
      <c r="D26" s="80">
        <f>D24-D25</f>
        <v>847</v>
      </c>
      <c r="E26" s="80">
        <f>E24-E25</f>
        <v>3592</v>
      </c>
      <c r="F26" s="80">
        <f>F24-F25</f>
        <v>-12576.800000000003</v>
      </c>
      <c r="G26" s="80">
        <f>G24-G25</f>
        <v>0</v>
      </c>
      <c r="H26" s="80">
        <f>H24-H25</f>
        <v>1238.7</v>
      </c>
      <c r="I26" s="80">
        <f>I24-I25</f>
        <v>0</v>
      </c>
      <c r="J26" s="80">
        <f>J24-J25</f>
        <v>-11338.100000000006</v>
      </c>
      <c r="K26" s="81">
        <f>K24</f>
        <v>1.01</v>
      </c>
      <c r="L26" s="81">
        <f>L24</f>
        <v>11.52</v>
      </c>
      <c r="M26" s="80">
        <f>M24-M25</f>
        <v>-12703</v>
      </c>
      <c r="N26" s="82">
        <f>M25-N25</f>
        <v>88768.7</v>
      </c>
      <c r="O26" s="83"/>
      <c r="P26" s="84"/>
      <c r="Q26" s="80">
        <f>Q24-Q25</f>
        <v>-5845.4000000000015</v>
      </c>
      <c r="R26" s="60"/>
      <c r="S26" s="81"/>
      <c r="T26" s="62">
        <f>T24-T25</f>
        <v>-64299.40000000002</v>
      </c>
      <c r="U26" s="85">
        <f>T25-U25</f>
        <v>397116.4</v>
      </c>
      <c r="V26" s="84"/>
      <c r="W26" s="86">
        <f>W24-W25</f>
        <v>15820</v>
      </c>
      <c r="X26" s="86">
        <f>X24-X25</f>
        <v>-638</v>
      </c>
      <c r="Y26" s="86">
        <f>Y24-Y25</f>
        <v>-19787</v>
      </c>
      <c r="Z26" s="87">
        <f>Y25-Z25</f>
        <v>84000</v>
      </c>
      <c r="AA26" s="87"/>
      <c r="AB26" s="88"/>
    </row>
    <row r="27" spans="1:28" ht="22.5" customHeight="1">
      <c r="A27" s="51">
        <v>7</v>
      </c>
      <c r="B27" s="89" t="s">
        <v>42</v>
      </c>
      <c r="C27" s="53" t="s">
        <v>33</v>
      </c>
      <c r="D27" s="80">
        <v>17500</v>
      </c>
      <c r="E27" s="55">
        <v>17712</v>
      </c>
      <c r="F27" s="92">
        <v>179463</v>
      </c>
      <c r="G27" s="92">
        <v>0</v>
      </c>
      <c r="H27" s="92">
        <v>0</v>
      </c>
      <c r="I27" s="92">
        <v>39900</v>
      </c>
      <c r="J27" s="82">
        <f>SUM(F27:I27)</f>
        <v>219363</v>
      </c>
      <c r="K27" s="57">
        <v>1.01</v>
      </c>
      <c r="L27" s="57">
        <v>11.52</v>
      </c>
      <c r="M27" s="56">
        <f>ROUND((F27*K27)+(G27*L27),0)</f>
        <v>181258</v>
      </c>
      <c r="N27" s="56" t="s">
        <v>34</v>
      </c>
      <c r="O27" s="58"/>
      <c r="P27" s="93">
        <f>ROUND(IF(M28=0,0,100*N28/M28),0)</f>
        <v>0</v>
      </c>
      <c r="Q27" s="92">
        <v>121527</v>
      </c>
      <c r="R27" s="60">
        <f>100%-(Q27/J27*100%)</f>
        <v>0.44600046498269996</v>
      </c>
      <c r="S27" s="94">
        <v>11</v>
      </c>
      <c r="T27" s="62">
        <f>ROUND(Q27*S27,1)</f>
        <v>1336797</v>
      </c>
      <c r="U27" s="63" t="s">
        <v>34</v>
      </c>
      <c r="V27" s="59">
        <f>ROUND(IF(T28=0,0,((U28+W28)/T28)*100),1)</f>
        <v>37.4</v>
      </c>
      <c r="W27" s="92">
        <v>17712</v>
      </c>
      <c r="X27" s="62">
        <v>21000</v>
      </c>
      <c r="Y27" s="62">
        <v>865200</v>
      </c>
      <c r="Z27" s="87" t="s">
        <v>34</v>
      </c>
      <c r="AA27" s="87" t="s">
        <v>34</v>
      </c>
      <c r="AB27" s="95">
        <f>ROUND(IF(Y28=0,0,100*Z28/Y28),0)</f>
        <v>0</v>
      </c>
    </row>
    <row r="28" spans="1:28" ht="22.5" customHeight="1">
      <c r="A28" s="66"/>
      <c r="B28" s="90"/>
      <c r="C28" s="67" t="s">
        <v>35</v>
      </c>
      <c r="D28" s="96">
        <v>16293</v>
      </c>
      <c r="E28" s="69">
        <v>11280</v>
      </c>
      <c r="F28" s="97">
        <v>171890</v>
      </c>
      <c r="G28" s="97">
        <v>0</v>
      </c>
      <c r="H28" s="98">
        <v>0</v>
      </c>
      <c r="I28" s="98">
        <v>36591.2</v>
      </c>
      <c r="J28" s="71">
        <f>SUM(F28:I28)</f>
        <v>208481.2</v>
      </c>
      <c r="K28" s="72">
        <f>K27</f>
        <v>1.01</v>
      </c>
      <c r="L28" s="72">
        <f>L27</f>
        <v>11.52</v>
      </c>
      <c r="M28" s="71">
        <f>F28*K28</f>
        <v>173608.9</v>
      </c>
      <c r="N28" s="71">
        <v>0</v>
      </c>
      <c r="O28" s="71">
        <v>0</v>
      </c>
      <c r="P28" s="99"/>
      <c r="Q28" s="71">
        <v>118000.4</v>
      </c>
      <c r="R28" s="74">
        <f>100%-(Q28/J28*100%)</f>
        <v>0.43399980429890084</v>
      </c>
      <c r="S28" s="100">
        <v>11</v>
      </c>
      <c r="T28" s="71">
        <f>Q28*11</f>
        <v>1298004.4</v>
      </c>
      <c r="U28" s="76">
        <v>485178</v>
      </c>
      <c r="V28" s="73"/>
      <c r="W28" s="76"/>
      <c r="X28" s="101">
        <v>19998.1</v>
      </c>
      <c r="Y28" s="101">
        <v>804243.6</v>
      </c>
      <c r="Z28" s="101">
        <v>0</v>
      </c>
      <c r="AA28" s="101">
        <v>0</v>
      </c>
      <c r="AB28" s="102"/>
    </row>
    <row r="29" spans="1:28" ht="22.5" customHeight="1">
      <c r="A29" s="78"/>
      <c r="B29" s="91"/>
      <c r="C29" s="79" t="s">
        <v>36</v>
      </c>
      <c r="D29" s="62">
        <f>D27-D28</f>
        <v>1207</v>
      </c>
      <c r="E29" s="62">
        <f>E27-E28</f>
        <v>6432</v>
      </c>
      <c r="F29" s="62">
        <f>F27-F28</f>
        <v>7573</v>
      </c>
      <c r="G29" s="62">
        <f>G27-G28</f>
        <v>0</v>
      </c>
      <c r="H29" s="62">
        <f>H27-H28</f>
        <v>0</v>
      </c>
      <c r="I29" s="62">
        <f>I27-I28</f>
        <v>3308.800000000003</v>
      </c>
      <c r="J29" s="62">
        <f>J27-J28</f>
        <v>10881.799999999988</v>
      </c>
      <c r="K29" s="57">
        <f>K27</f>
        <v>1.01</v>
      </c>
      <c r="L29" s="57">
        <f>L27</f>
        <v>11.52</v>
      </c>
      <c r="M29" s="56">
        <f>M27-M28</f>
        <v>7649.100000000006</v>
      </c>
      <c r="N29" s="56">
        <f>M28-N28</f>
        <v>173608.9</v>
      </c>
      <c r="O29" s="58"/>
      <c r="P29" s="103"/>
      <c r="Q29" s="92">
        <f>Q27-Q28</f>
        <v>3526.600000000006</v>
      </c>
      <c r="R29" s="60"/>
      <c r="S29" s="94"/>
      <c r="T29" s="62">
        <f>T27-T28</f>
        <v>38792.60000000009</v>
      </c>
      <c r="U29" s="63">
        <f>T28-U28</f>
        <v>812826.3999999999</v>
      </c>
      <c r="V29" s="84"/>
      <c r="W29" s="62">
        <f>W27-W28</f>
        <v>17712</v>
      </c>
      <c r="X29" s="62">
        <f>X27-X28</f>
        <v>1001.9000000000015</v>
      </c>
      <c r="Y29" s="62">
        <f>Y27-Y28</f>
        <v>60956.40000000002</v>
      </c>
      <c r="Z29" s="87">
        <f>Y28-Z28</f>
        <v>804243.6</v>
      </c>
      <c r="AA29" s="87"/>
      <c r="AB29" s="104"/>
    </row>
    <row r="30" spans="1:28" ht="22.5" customHeight="1">
      <c r="A30" s="51">
        <v>8</v>
      </c>
      <c r="B30" s="89" t="s">
        <v>43</v>
      </c>
      <c r="C30" s="53" t="s">
        <v>33</v>
      </c>
      <c r="D30" s="55">
        <v>6500</v>
      </c>
      <c r="E30" s="55">
        <v>1980</v>
      </c>
      <c r="F30" s="92">
        <v>94000</v>
      </c>
      <c r="G30" s="92">
        <v>0</v>
      </c>
      <c r="H30" s="92">
        <v>0</v>
      </c>
      <c r="I30" s="92">
        <v>1080</v>
      </c>
      <c r="J30" s="82">
        <f>SUM(F30:I30)</f>
        <v>95080</v>
      </c>
      <c r="K30" s="57">
        <v>1.01</v>
      </c>
      <c r="L30" s="57">
        <v>4.94</v>
      </c>
      <c r="M30" s="56">
        <f>ROUND((F30*K30)+(G30*L30),0)</f>
        <v>94940</v>
      </c>
      <c r="N30" s="56" t="s">
        <v>34</v>
      </c>
      <c r="O30" s="58"/>
      <c r="P30" s="93">
        <f>ROUND(IF(M31=0,0,100*N31/M31),0)</f>
        <v>0</v>
      </c>
      <c r="Q30" s="92">
        <v>53815.3</v>
      </c>
      <c r="R30" s="60">
        <f>100%-(Q30/J30*100%)</f>
        <v>0.4339997896508203</v>
      </c>
      <c r="S30" s="94">
        <v>11</v>
      </c>
      <c r="T30" s="62">
        <f>ROUND(Q30*S30,1)</f>
        <v>591968.3</v>
      </c>
      <c r="U30" s="63" t="s">
        <v>34</v>
      </c>
      <c r="V30" s="59">
        <f>ROUND(IF(T31=0,0,((U31+W31)/T31)*100),1)</f>
        <v>46.8</v>
      </c>
      <c r="W30" s="92">
        <v>6500</v>
      </c>
      <c r="X30" s="62">
        <v>3500</v>
      </c>
      <c r="Y30" s="62">
        <v>143150</v>
      </c>
      <c r="Z30" s="87" t="s">
        <v>34</v>
      </c>
      <c r="AA30" s="87" t="s">
        <v>34</v>
      </c>
      <c r="AB30" s="95">
        <f>ROUND(IF(Y31=0,0,100*Z31/Y31),0)</f>
        <v>0</v>
      </c>
    </row>
    <row r="31" spans="1:28" ht="22.5" customHeight="1">
      <c r="A31" s="66"/>
      <c r="B31" s="90"/>
      <c r="C31" s="67" t="s">
        <v>35</v>
      </c>
      <c r="D31" s="96">
        <v>5746.7</v>
      </c>
      <c r="E31" s="69">
        <v>1318</v>
      </c>
      <c r="F31" s="107">
        <v>112366.3</v>
      </c>
      <c r="G31" s="107">
        <v>0</v>
      </c>
      <c r="H31" s="108">
        <v>0</v>
      </c>
      <c r="I31" s="108">
        <v>1632.2</v>
      </c>
      <c r="J31" s="71">
        <f>SUM(F31:I31)</f>
        <v>113998.5</v>
      </c>
      <c r="K31" s="72">
        <v>1.01</v>
      </c>
      <c r="L31" s="72">
        <f>L30</f>
        <v>4.94</v>
      </c>
      <c r="M31" s="71">
        <f>ROUND((F31*K31)+(G31*L31),0)</f>
        <v>113490</v>
      </c>
      <c r="N31" s="71">
        <v>0</v>
      </c>
      <c r="O31" s="71">
        <v>0</v>
      </c>
      <c r="P31" s="99"/>
      <c r="Q31" s="71">
        <v>60305.21</v>
      </c>
      <c r="R31" s="74">
        <f>100%-(Q31/J31*100%)</f>
        <v>0.4709999692978416</v>
      </c>
      <c r="S31" s="100">
        <v>11</v>
      </c>
      <c r="T31" s="71">
        <f>ROUND(Q31*S31,1)</f>
        <v>663357.3</v>
      </c>
      <c r="U31" s="76">
        <v>309668</v>
      </c>
      <c r="V31" s="73"/>
      <c r="W31" s="76">
        <v>796.7</v>
      </c>
      <c r="X31" s="76">
        <v>4047.8</v>
      </c>
      <c r="Y31" s="76">
        <v>159057.7</v>
      </c>
      <c r="Z31" s="76"/>
      <c r="AA31" s="76">
        <v>0</v>
      </c>
      <c r="AB31" s="102"/>
    </row>
    <row r="32" spans="1:28" ht="22.5" customHeight="1">
      <c r="A32" s="78"/>
      <c r="B32" s="91"/>
      <c r="C32" s="79" t="s">
        <v>36</v>
      </c>
      <c r="D32" s="80">
        <f aca="true" t="shared" si="4" ref="D32:J32">D30-D31</f>
        <v>753.3000000000002</v>
      </c>
      <c r="E32" s="80">
        <f t="shared" si="4"/>
        <v>662</v>
      </c>
      <c r="F32" s="62">
        <f t="shared" si="4"/>
        <v>-18366.300000000003</v>
      </c>
      <c r="G32" s="62">
        <f t="shared" si="4"/>
        <v>0</v>
      </c>
      <c r="H32" s="62">
        <f t="shared" si="4"/>
        <v>0</v>
      </c>
      <c r="I32" s="62">
        <f t="shared" si="4"/>
        <v>-552.2</v>
      </c>
      <c r="J32" s="62">
        <f t="shared" si="4"/>
        <v>-18918.5</v>
      </c>
      <c r="K32" s="57">
        <f>K30</f>
        <v>1.01</v>
      </c>
      <c r="L32" s="57">
        <f>L30</f>
        <v>4.94</v>
      </c>
      <c r="M32" s="56">
        <f>M30-M31</f>
        <v>-18550</v>
      </c>
      <c r="N32" s="56">
        <f>M31-N31</f>
        <v>113490</v>
      </c>
      <c r="O32" s="58"/>
      <c r="P32" s="103"/>
      <c r="Q32" s="92">
        <f>Q30-Q31</f>
        <v>-6489.909999999996</v>
      </c>
      <c r="R32" s="60"/>
      <c r="S32" s="94"/>
      <c r="T32" s="62">
        <f>T30-T31</f>
        <v>-71389</v>
      </c>
      <c r="U32" s="63">
        <f>T31-U31</f>
        <v>353689.30000000005</v>
      </c>
      <c r="V32" s="84"/>
      <c r="W32" s="62">
        <f>W30-W31</f>
        <v>5703.3</v>
      </c>
      <c r="X32" s="62">
        <f>X30-X31</f>
        <v>-547.8000000000002</v>
      </c>
      <c r="Y32" s="62">
        <f>Y30-Y31</f>
        <v>-15907.700000000012</v>
      </c>
      <c r="Z32" s="87">
        <f>Y31-Z31</f>
        <v>159057.7</v>
      </c>
      <c r="AA32" s="87"/>
      <c r="AB32" s="104"/>
    </row>
    <row r="33" spans="1:28" ht="22.5" customHeight="1">
      <c r="A33" s="51">
        <v>9</v>
      </c>
      <c r="B33" s="89" t="s">
        <v>44</v>
      </c>
      <c r="C33" s="53" t="s">
        <v>33</v>
      </c>
      <c r="D33" s="55">
        <v>4200</v>
      </c>
      <c r="E33" s="55">
        <v>1800</v>
      </c>
      <c r="F33" s="92">
        <v>56000</v>
      </c>
      <c r="G33" s="92">
        <v>0</v>
      </c>
      <c r="H33" s="92">
        <v>500</v>
      </c>
      <c r="I33" s="92">
        <v>500</v>
      </c>
      <c r="J33" s="82">
        <f>SUM(F33:I33)</f>
        <v>57000</v>
      </c>
      <c r="K33" s="57">
        <v>1.01</v>
      </c>
      <c r="L33" s="57">
        <v>4.94</v>
      </c>
      <c r="M33" s="56">
        <f>ROUND((F33*K33)+(G33*L33),0)</f>
        <v>56560</v>
      </c>
      <c r="N33" s="56" t="s">
        <v>34</v>
      </c>
      <c r="O33" s="58"/>
      <c r="P33" s="93">
        <f>ROUND(IF(M34=0,0,100*N34/M34),0)</f>
        <v>0</v>
      </c>
      <c r="Q33" s="92">
        <v>26790</v>
      </c>
      <c r="R33" s="60">
        <f>100%-(Q33/J33*100%)</f>
        <v>0.53</v>
      </c>
      <c r="S33" s="94">
        <v>11</v>
      </c>
      <c r="T33" s="62">
        <f>ROUND(Q33*S33,1)</f>
        <v>294690</v>
      </c>
      <c r="U33" s="63" t="s">
        <v>34</v>
      </c>
      <c r="V33" s="59">
        <f>ROUND(IF(T34=0,0,((U34+W34)/T34)*100),1)</f>
        <v>33.7</v>
      </c>
      <c r="W33" s="92">
        <v>4200</v>
      </c>
      <c r="X33" s="62">
        <v>13000</v>
      </c>
      <c r="Y33" s="62">
        <v>520000</v>
      </c>
      <c r="Z33" s="87" t="s">
        <v>34</v>
      </c>
      <c r="AA33" s="87" t="s">
        <v>34</v>
      </c>
      <c r="AB33" s="95">
        <f>ROUND(IF(Y34=0,0,100*Z34/Y34),0)</f>
        <v>100</v>
      </c>
    </row>
    <row r="34" spans="1:28" ht="22.5" customHeight="1">
      <c r="A34" s="66"/>
      <c r="B34" s="90"/>
      <c r="C34" s="67" t="s">
        <v>35</v>
      </c>
      <c r="D34" s="96">
        <v>3695</v>
      </c>
      <c r="E34" s="69">
        <v>1410</v>
      </c>
      <c r="F34" s="107">
        <v>62842</v>
      </c>
      <c r="G34" s="107">
        <v>0</v>
      </c>
      <c r="H34" s="108">
        <v>0</v>
      </c>
      <c r="I34" s="108">
        <v>550</v>
      </c>
      <c r="J34" s="71">
        <f>SUM(F34:I34)</f>
        <v>63392</v>
      </c>
      <c r="K34" s="72">
        <f>K33</f>
        <v>1.01</v>
      </c>
      <c r="L34" s="72">
        <f>L33</f>
        <v>4.94</v>
      </c>
      <c r="M34" s="71">
        <f>ROUND((F34*K34)+(G34*L34),0)</f>
        <v>63470</v>
      </c>
      <c r="N34" s="71">
        <v>0</v>
      </c>
      <c r="O34" s="71">
        <v>0</v>
      </c>
      <c r="P34" s="99"/>
      <c r="Q34" s="71">
        <f>J34*47%</f>
        <v>29794.239999999998</v>
      </c>
      <c r="R34" s="74">
        <f>100%-(Q34/J34*100%)</f>
        <v>0.53</v>
      </c>
      <c r="S34" s="100">
        <v>11</v>
      </c>
      <c r="T34" s="71">
        <f>Q34*11</f>
        <v>327736.63999999996</v>
      </c>
      <c r="U34" s="76">
        <v>108150</v>
      </c>
      <c r="V34" s="73"/>
      <c r="W34" s="76">
        <v>2264</v>
      </c>
      <c r="X34" s="76">
        <v>9637</v>
      </c>
      <c r="Y34" s="76">
        <v>375747</v>
      </c>
      <c r="Z34" s="76">
        <v>375400</v>
      </c>
      <c r="AA34" s="76">
        <v>0</v>
      </c>
      <c r="AB34" s="102"/>
    </row>
    <row r="35" spans="1:28" ht="22.5" customHeight="1">
      <c r="A35" s="78"/>
      <c r="B35" s="91"/>
      <c r="C35" s="79" t="s">
        <v>36</v>
      </c>
      <c r="D35" s="80">
        <f aca="true" t="shared" si="5" ref="D35:J35">D33-D34</f>
        <v>505</v>
      </c>
      <c r="E35" s="80">
        <f t="shared" si="5"/>
        <v>390</v>
      </c>
      <c r="F35" s="62">
        <f t="shared" si="5"/>
        <v>-6842</v>
      </c>
      <c r="G35" s="62">
        <f t="shared" si="5"/>
        <v>0</v>
      </c>
      <c r="H35" s="62">
        <f t="shared" si="5"/>
        <v>500</v>
      </c>
      <c r="I35" s="62">
        <f t="shared" si="5"/>
        <v>-50</v>
      </c>
      <c r="J35" s="62">
        <f t="shared" si="5"/>
        <v>-6392</v>
      </c>
      <c r="K35" s="57">
        <f>K33</f>
        <v>1.01</v>
      </c>
      <c r="L35" s="57">
        <f>L33</f>
        <v>4.94</v>
      </c>
      <c r="M35" s="56">
        <f>M33-M34</f>
        <v>-6910</v>
      </c>
      <c r="N35" s="56">
        <f>M34-N34</f>
        <v>63470</v>
      </c>
      <c r="O35" s="58"/>
      <c r="P35" s="103"/>
      <c r="Q35" s="92">
        <f>Q33-Q34</f>
        <v>-3004.239999999998</v>
      </c>
      <c r="R35" s="60"/>
      <c r="S35" s="94"/>
      <c r="T35" s="62">
        <f>T33-T34</f>
        <v>-33046.639999999956</v>
      </c>
      <c r="U35" s="63">
        <f>T34-U34</f>
        <v>219586.63999999996</v>
      </c>
      <c r="V35" s="84"/>
      <c r="W35" s="62">
        <f>W33-W34</f>
        <v>1936</v>
      </c>
      <c r="X35" s="62">
        <f>X33-X34</f>
        <v>3363</v>
      </c>
      <c r="Y35" s="62">
        <f>Y33-Y34</f>
        <v>144253</v>
      </c>
      <c r="Z35" s="87">
        <f>Y34-Z34</f>
        <v>347</v>
      </c>
      <c r="AA35" s="87"/>
      <c r="AB35" s="104"/>
    </row>
    <row r="36" spans="1:28" ht="22.5" customHeight="1">
      <c r="A36" s="51">
        <v>10</v>
      </c>
      <c r="B36" s="89" t="s">
        <v>45</v>
      </c>
      <c r="C36" s="53" t="s">
        <v>33</v>
      </c>
      <c r="D36" s="62">
        <v>4153</v>
      </c>
      <c r="E36" s="62">
        <v>11980</v>
      </c>
      <c r="F36" s="92">
        <v>16120</v>
      </c>
      <c r="G36" s="92">
        <v>0</v>
      </c>
      <c r="H36" s="92">
        <v>6880</v>
      </c>
      <c r="I36" s="92">
        <v>0</v>
      </c>
      <c r="J36" s="82">
        <f>SUM(F36:I36)</f>
        <v>23000</v>
      </c>
      <c r="K36" s="57">
        <v>1.01</v>
      </c>
      <c r="L36" s="57">
        <v>4.94</v>
      </c>
      <c r="M36" s="56">
        <f>ROUND((F36*K36)+(G36*L36),0)</f>
        <v>16281</v>
      </c>
      <c r="N36" s="56" t="s">
        <v>34</v>
      </c>
      <c r="O36" s="58"/>
      <c r="P36" s="93">
        <f>ROUND(IF(M37=0,0,100*N37/M37),0)</f>
        <v>0</v>
      </c>
      <c r="Q36" s="92">
        <v>11270</v>
      </c>
      <c r="R36" s="60">
        <f>100%-(Q36/J36*100%)</f>
        <v>0.51</v>
      </c>
      <c r="S36" s="94">
        <v>11</v>
      </c>
      <c r="T36" s="62">
        <f>ROUND(Q36*S36,1)</f>
        <v>123970</v>
      </c>
      <c r="U36" s="63" t="s">
        <v>34</v>
      </c>
      <c r="V36" s="59">
        <f>ROUND(IF(T37=0,0,((U37+W37)/T37)*100),1)</f>
        <v>102.5</v>
      </c>
      <c r="W36" s="92">
        <v>4153</v>
      </c>
      <c r="X36" s="62">
        <v>1300</v>
      </c>
      <c r="Y36" s="62">
        <v>54678</v>
      </c>
      <c r="Z36" s="87" t="s">
        <v>34</v>
      </c>
      <c r="AA36" s="87" t="s">
        <v>34</v>
      </c>
      <c r="AB36" s="95">
        <f>ROUND(IF(Y37=0,0,100*Z37/Y37),0)</f>
        <v>0</v>
      </c>
    </row>
    <row r="37" spans="1:28" ht="22.5" customHeight="1">
      <c r="A37" s="66"/>
      <c r="B37" s="90"/>
      <c r="C37" s="67" t="s">
        <v>35</v>
      </c>
      <c r="D37" s="69">
        <v>3940</v>
      </c>
      <c r="E37" s="69">
        <v>2856</v>
      </c>
      <c r="F37" s="107">
        <v>8137.7</v>
      </c>
      <c r="G37" s="107">
        <v>0</v>
      </c>
      <c r="H37" s="108">
        <v>6005.3</v>
      </c>
      <c r="I37" s="108">
        <v>0</v>
      </c>
      <c r="J37" s="71">
        <f>SUM(F37:I37)</f>
        <v>14143</v>
      </c>
      <c r="K37" s="72">
        <f>K36</f>
        <v>1.01</v>
      </c>
      <c r="L37" s="72">
        <f>L36</f>
        <v>4.94</v>
      </c>
      <c r="M37" s="109">
        <f>ROUND((F37*K37)+(G37*L37),0)</f>
        <v>8219</v>
      </c>
      <c r="N37" s="71">
        <v>0</v>
      </c>
      <c r="O37" s="71">
        <v>0</v>
      </c>
      <c r="P37" s="99"/>
      <c r="Q37" s="71">
        <v>6012.26</v>
      </c>
      <c r="R37" s="74">
        <f>100%-(Q37/J37*100%)</f>
        <v>0.5748950010605953</v>
      </c>
      <c r="S37" s="100">
        <v>11</v>
      </c>
      <c r="T37" s="71">
        <v>66217.3</v>
      </c>
      <c r="U37" s="76">
        <v>65724.399</v>
      </c>
      <c r="V37" s="73"/>
      <c r="W37" s="76">
        <v>2120.4</v>
      </c>
      <c r="X37" s="76">
        <v>813.35</v>
      </c>
      <c r="Y37" s="76">
        <v>32517.7</v>
      </c>
      <c r="Z37" s="76">
        <v>0</v>
      </c>
      <c r="AA37" s="76">
        <v>0</v>
      </c>
      <c r="AB37" s="102"/>
    </row>
    <row r="38" spans="1:28" ht="22.5" customHeight="1">
      <c r="A38" s="78"/>
      <c r="B38" s="91"/>
      <c r="C38" s="79" t="s">
        <v>36</v>
      </c>
      <c r="D38" s="62">
        <f aca="true" t="shared" si="6" ref="D38:J38">D36-D37</f>
        <v>213</v>
      </c>
      <c r="E38" s="62">
        <f t="shared" si="6"/>
        <v>9124</v>
      </c>
      <c r="F38" s="62">
        <f t="shared" si="6"/>
        <v>7982.3</v>
      </c>
      <c r="G38" s="62">
        <f t="shared" si="6"/>
        <v>0</v>
      </c>
      <c r="H38" s="62">
        <f t="shared" si="6"/>
        <v>874.6999999999998</v>
      </c>
      <c r="I38" s="62">
        <f t="shared" si="6"/>
        <v>0</v>
      </c>
      <c r="J38" s="62">
        <f t="shared" si="6"/>
        <v>8857</v>
      </c>
      <c r="K38" s="57">
        <f>K36</f>
        <v>1.01</v>
      </c>
      <c r="L38" s="57">
        <f>L36</f>
        <v>4.94</v>
      </c>
      <c r="M38" s="56">
        <f>M36-M37</f>
        <v>8062</v>
      </c>
      <c r="N38" s="56">
        <f>M37-N37</f>
        <v>8219</v>
      </c>
      <c r="O38" s="58"/>
      <c r="P38" s="103"/>
      <c r="Q38" s="92">
        <f>Q36-Q37</f>
        <v>5257.74</v>
      </c>
      <c r="R38" s="60"/>
      <c r="S38" s="94"/>
      <c r="T38" s="62">
        <f>T36-T37</f>
        <v>57752.7</v>
      </c>
      <c r="U38" s="63">
        <f>T37-U37</f>
        <v>492.900999999998</v>
      </c>
      <c r="V38" s="84"/>
      <c r="W38" s="92">
        <f>W36-W37</f>
        <v>2032.6</v>
      </c>
      <c r="X38" s="62">
        <f>X36-X37</f>
        <v>486.65</v>
      </c>
      <c r="Y38" s="62">
        <v>0</v>
      </c>
      <c r="Z38" s="87">
        <f>Y37-Z37</f>
        <v>32517.7</v>
      </c>
      <c r="AA38" s="87"/>
      <c r="AB38" s="104"/>
    </row>
    <row r="39" spans="1:28" ht="23.25" customHeight="1">
      <c r="A39" s="110" t="s">
        <v>46</v>
      </c>
      <c r="B39" s="111"/>
      <c r="C39" s="112"/>
      <c r="D39" s="113">
        <f>SUM(D9,D12,D15,D18,D21,D24,D33,D36,D27,D30)</f>
        <v>87012.4</v>
      </c>
      <c r="E39" s="113">
        <f aca="true" t="shared" si="7" ref="E39:J40">SUM(E9,E12,E15,E18,E21,E24,E33,E36,E27,E30)</f>
        <v>114581</v>
      </c>
      <c r="F39" s="113">
        <f t="shared" si="7"/>
        <v>733353.4</v>
      </c>
      <c r="G39" s="113">
        <f t="shared" si="7"/>
        <v>59300</v>
      </c>
      <c r="H39" s="113">
        <f t="shared" si="7"/>
        <v>18824.2</v>
      </c>
      <c r="I39" s="113">
        <f t="shared" si="7"/>
        <v>147484.1</v>
      </c>
      <c r="J39" s="113">
        <f t="shared" si="7"/>
        <v>958961.7</v>
      </c>
      <c r="K39" s="114" t="s">
        <v>34</v>
      </c>
      <c r="L39" s="114" t="s">
        <v>34</v>
      </c>
      <c r="M39" s="113">
        <f aca="true" t="shared" si="8" ref="M39:O40">SUM(M9,M12,M15,M18,M21,M24,M33,M36,M27,M30)</f>
        <v>1423823</v>
      </c>
      <c r="N39" s="113" t="s">
        <v>34</v>
      </c>
      <c r="O39" s="113" t="s">
        <v>34</v>
      </c>
      <c r="P39" s="115"/>
      <c r="Q39" s="113">
        <f>SUM(Q9,Q12,Q15,Q18,Q21,Q24,Q33,Q36,Q27,Q30)</f>
        <v>536964.8</v>
      </c>
      <c r="R39" s="116">
        <f>100%-(Q39/J39*100%)</f>
        <v>0.4400560522907223</v>
      </c>
      <c r="S39" s="117" t="s">
        <v>34</v>
      </c>
      <c r="T39" s="113">
        <f aca="true" t="shared" si="9" ref="T39:Z40">SUM(T9,T12,T15,T18,T21,T24,T33,T36,T27,T30)</f>
        <v>5884445.8</v>
      </c>
      <c r="U39" s="113" t="s">
        <v>34</v>
      </c>
      <c r="V39" s="118"/>
      <c r="W39" s="113">
        <f t="shared" si="9"/>
        <v>113833</v>
      </c>
      <c r="X39" s="113">
        <f t="shared" si="9"/>
        <v>103472.3</v>
      </c>
      <c r="Y39" s="113">
        <f t="shared" si="9"/>
        <v>4138450.9</v>
      </c>
      <c r="Z39" s="119" t="s">
        <v>34</v>
      </c>
      <c r="AA39" s="119" t="s">
        <v>34</v>
      </c>
      <c r="AB39" s="120"/>
    </row>
    <row r="40" spans="1:28" ht="23.25" customHeight="1">
      <c r="A40" s="110" t="s">
        <v>47</v>
      </c>
      <c r="B40" s="111"/>
      <c r="C40" s="112"/>
      <c r="D40" s="113">
        <f>SUM(D10,D13,D16,D19,D22,D25,D34,D37,D28,D31)</f>
        <v>80775.75</v>
      </c>
      <c r="E40" s="113">
        <f t="shared" si="7"/>
        <v>87249</v>
      </c>
      <c r="F40" s="113">
        <f t="shared" si="7"/>
        <v>720137.2300000001</v>
      </c>
      <c r="G40" s="113">
        <f t="shared" si="7"/>
        <v>96696.7</v>
      </c>
      <c r="H40" s="113">
        <f t="shared" si="7"/>
        <v>14954.079999999998</v>
      </c>
      <c r="I40" s="113">
        <f t="shared" si="7"/>
        <v>154442.90000000002</v>
      </c>
      <c r="J40" s="113">
        <f t="shared" si="7"/>
        <v>986230.9099999999</v>
      </c>
      <c r="K40" s="114" t="s">
        <v>34</v>
      </c>
      <c r="L40" s="114" t="s">
        <v>34</v>
      </c>
      <c r="M40" s="113">
        <f t="shared" si="8"/>
        <v>1841283.9</v>
      </c>
      <c r="N40" s="113">
        <f t="shared" si="8"/>
        <v>646354.3</v>
      </c>
      <c r="O40" s="113">
        <f t="shared" si="8"/>
        <v>60981</v>
      </c>
      <c r="P40" s="115">
        <f>ROUND(100*N40/M40,0)</f>
        <v>35</v>
      </c>
      <c r="Q40" s="113">
        <f>SUM(Q10,Q13,Q16,Q19,Q22,Q25,Q34,Q37,Q28,Q31)</f>
        <v>551498.39</v>
      </c>
      <c r="R40" s="116">
        <f>100%-(Q40/J40*100%)</f>
        <v>0.44080196188537624</v>
      </c>
      <c r="S40" s="117" t="s">
        <v>34</v>
      </c>
      <c r="T40" s="113">
        <f t="shared" si="9"/>
        <v>6048016.72</v>
      </c>
      <c r="U40" s="113">
        <f t="shared" si="9"/>
        <v>2867398.399</v>
      </c>
      <c r="V40" s="113">
        <f>ROUND(IF(T40=0,0,((U40+W40)/T40)*100),1)</f>
        <v>48</v>
      </c>
      <c r="W40" s="113">
        <f t="shared" si="9"/>
        <v>38288.149999999994</v>
      </c>
      <c r="X40" s="113">
        <f t="shared" si="9"/>
        <v>100659.78000000001</v>
      </c>
      <c r="Y40" s="113">
        <f t="shared" si="9"/>
        <v>3959395.4000000004</v>
      </c>
      <c r="Z40" s="113">
        <f t="shared" si="9"/>
        <v>2721600</v>
      </c>
      <c r="AA40" s="113">
        <f>SUM(AA10,AA13,AA16,AA22,AA25,AA34,AA37,AA28,AA31)</f>
        <v>145000</v>
      </c>
      <c r="AB40" s="120">
        <f>ROUND(100*Z40/Y40,0)</f>
        <v>69</v>
      </c>
    </row>
    <row r="41" spans="1:28" ht="23.25" customHeight="1">
      <c r="A41" s="121" t="s">
        <v>48</v>
      </c>
      <c r="B41" s="122"/>
      <c r="C41" s="122"/>
      <c r="D41" s="123"/>
      <c r="E41" s="123"/>
      <c r="F41" s="123"/>
      <c r="G41" s="123"/>
      <c r="H41" s="123"/>
      <c r="I41" s="123"/>
      <c r="J41" s="123"/>
      <c r="K41" s="122"/>
      <c r="L41" s="122"/>
      <c r="M41" s="123"/>
      <c r="N41" s="123"/>
      <c r="O41" s="123"/>
      <c r="P41" s="122"/>
      <c r="Q41" s="123"/>
      <c r="R41" s="122"/>
      <c r="S41" s="122"/>
      <c r="T41" s="123"/>
      <c r="U41" s="123"/>
      <c r="V41" s="122"/>
      <c r="W41" s="123"/>
      <c r="X41" s="123"/>
      <c r="Y41" s="123"/>
      <c r="Z41" s="123"/>
      <c r="AA41" s="124"/>
      <c r="AB41" s="125"/>
    </row>
    <row r="42" spans="1:28" ht="24.75" customHeight="1">
      <c r="A42" s="51">
        <v>1</v>
      </c>
      <c r="B42" s="89" t="s">
        <v>49</v>
      </c>
      <c r="C42" s="53" t="s">
        <v>33</v>
      </c>
      <c r="D42" s="62">
        <v>3192</v>
      </c>
      <c r="E42" s="62">
        <v>12636</v>
      </c>
      <c r="F42" s="62">
        <v>0</v>
      </c>
      <c r="G42" s="62">
        <v>0</v>
      </c>
      <c r="H42" s="62">
        <v>3000</v>
      </c>
      <c r="I42" s="62">
        <v>12000</v>
      </c>
      <c r="J42" s="82">
        <f>SUM(F42:I42)</f>
        <v>15000</v>
      </c>
      <c r="K42" s="126">
        <v>0</v>
      </c>
      <c r="L42" s="126">
        <v>0</v>
      </c>
      <c r="M42" s="56">
        <f>ROUND((F42*K42)+(G42*L42),0)</f>
        <v>0</v>
      </c>
      <c r="N42" s="56" t="s">
        <v>34</v>
      </c>
      <c r="O42" s="58" t="s">
        <v>34</v>
      </c>
      <c r="P42" s="59">
        <f>ROUND(IF(M43=0,0,100*N43/M43),1)</f>
        <v>0</v>
      </c>
      <c r="Q42" s="62">
        <v>8700</v>
      </c>
      <c r="R42" s="60">
        <f>100%-(Q42/J42*100%)</f>
        <v>0.42000000000000004</v>
      </c>
      <c r="S42" s="57">
        <v>11</v>
      </c>
      <c r="T42" s="62">
        <f>ROUND(Q42*S42,1)</f>
        <v>95700</v>
      </c>
      <c r="U42" s="63" t="s">
        <v>50</v>
      </c>
      <c r="V42" s="59">
        <f>ROUND(IF(T43=0,0,((U43+W43)/T43)*100),1)</f>
        <v>58.1</v>
      </c>
      <c r="W42" s="92">
        <v>12000</v>
      </c>
      <c r="X42" s="62">
        <v>7300</v>
      </c>
      <c r="Y42" s="62">
        <v>298570</v>
      </c>
      <c r="Z42" s="87" t="s">
        <v>34</v>
      </c>
      <c r="AA42" s="87" t="s">
        <v>34</v>
      </c>
      <c r="AB42" s="65">
        <f>ROUND(IF(Y43=0,0,((Z43/Y43)*100)),1)</f>
        <v>0</v>
      </c>
    </row>
    <row r="43" spans="1:28" ht="24.75" customHeight="1">
      <c r="A43" s="66"/>
      <c r="B43" s="90"/>
      <c r="C43" s="67" t="s">
        <v>35</v>
      </c>
      <c r="D43" s="69">
        <v>1748</v>
      </c>
      <c r="E43" s="69">
        <v>6025</v>
      </c>
      <c r="F43" s="69">
        <v>0</v>
      </c>
      <c r="G43" s="69">
        <v>0</v>
      </c>
      <c r="H43" s="98">
        <v>1437</v>
      </c>
      <c r="I43" s="98">
        <v>10791</v>
      </c>
      <c r="J43" s="71">
        <f>SUM(F43:I43)</f>
        <v>12228</v>
      </c>
      <c r="K43" s="127">
        <v>0</v>
      </c>
      <c r="L43" s="127">
        <v>0</v>
      </c>
      <c r="M43" s="71">
        <f>ROUND((F43*K43)+(G43*L43),0)</f>
        <v>0</v>
      </c>
      <c r="N43" s="71"/>
      <c r="O43" s="71"/>
      <c r="P43" s="73"/>
      <c r="Q43" s="71">
        <v>7094</v>
      </c>
      <c r="R43" s="74">
        <f>100%-(Q43/J43*100%)</f>
        <v>0.41985606804056264</v>
      </c>
      <c r="S43" s="72">
        <v>11</v>
      </c>
      <c r="T43" s="71">
        <f>Q43*11</f>
        <v>78034</v>
      </c>
      <c r="U43" s="76">
        <v>45373.6</v>
      </c>
      <c r="V43" s="73"/>
      <c r="W43" s="76">
        <v>0</v>
      </c>
      <c r="X43" s="101">
        <v>7751.7</v>
      </c>
      <c r="Y43" s="101">
        <v>326518.2</v>
      </c>
      <c r="Z43" s="101"/>
      <c r="AA43" s="101">
        <v>0</v>
      </c>
      <c r="AB43" s="77"/>
    </row>
    <row r="44" spans="1:28" ht="24.75" customHeight="1">
      <c r="A44" s="78"/>
      <c r="B44" s="91"/>
      <c r="C44" s="79" t="s">
        <v>36</v>
      </c>
      <c r="D44" s="62">
        <f aca="true" t="shared" si="10" ref="D44:J44">D42-D43</f>
        <v>1444</v>
      </c>
      <c r="E44" s="62">
        <f t="shared" si="10"/>
        <v>6611</v>
      </c>
      <c r="F44" s="80">
        <f t="shared" si="10"/>
        <v>0</v>
      </c>
      <c r="G44" s="80">
        <f t="shared" si="10"/>
        <v>0</v>
      </c>
      <c r="H44" s="80">
        <f t="shared" si="10"/>
        <v>1563</v>
      </c>
      <c r="I44" s="80">
        <f t="shared" si="10"/>
        <v>1209</v>
      </c>
      <c r="J44" s="80">
        <f t="shared" si="10"/>
        <v>2772</v>
      </c>
      <c r="K44" s="128">
        <f>K42</f>
        <v>0</v>
      </c>
      <c r="L44" s="128">
        <v>0</v>
      </c>
      <c r="M44" s="80">
        <f>M42-M43</f>
        <v>0</v>
      </c>
      <c r="N44" s="82">
        <f>M43-N43</f>
        <v>0</v>
      </c>
      <c r="O44" s="83"/>
      <c r="P44" s="84"/>
      <c r="Q44" s="80">
        <f>Q42-Q43</f>
        <v>1606</v>
      </c>
      <c r="R44" s="60"/>
      <c r="S44" s="81"/>
      <c r="T44" s="62">
        <f>T42-T43</f>
        <v>17666</v>
      </c>
      <c r="U44" s="85">
        <f>T43-U43</f>
        <v>32660.4</v>
      </c>
      <c r="V44" s="84"/>
      <c r="W44" s="86">
        <f>W42-W43</f>
        <v>12000</v>
      </c>
      <c r="X44" s="86">
        <f>X42-X43</f>
        <v>-451.6999999999998</v>
      </c>
      <c r="Y44" s="86">
        <f>Y42-Y43</f>
        <v>-27948.20000000001</v>
      </c>
      <c r="Z44" s="87">
        <f>Y43-Z43</f>
        <v>326518.2</v>
      </c>
      <c r="AA44" s="87"/>
      <c r="AB44" s="88"/>
    </row>
    <row r="45" spans="1:28" ht="24.75" customHeight="1">
      <c r="A45" s="129">
        <v>2</v>
      </c>
      <c r="B45" s="130" t="s">
        <v>51</v>
      </c>
      <c r="C45" s="53" t="s">
        <v>33</v>
      </c>
      <c r="D45" s="62">
        <v>4600</v>
      </c>
      <c r="E45" s="62">
        <v>6870</v>
      </c>
      <c r="F45" s="92">
        <v>0</v>
      </c>
      <c r="G45" s="92">
        <v>0</v>
      </c>
      <c r="H45" s="92">
        <v>7352</v>
      </c>
      <c r="I45" s="92">
        <v>6885</v>
      </c>
      <c r="J45" s="82">
        <f>SUM(F45:I45)</f>
        <v>14237</v>
      </c>
      <c r="K45" s="126">
        <v>0</v>
      </c>
      <c r="L45" s="126">
        <v>0</v>
      </c>
      <c r="M45" s="56">
        <f>ROUND((F45*K45)+(G45*L45),0)</f>
        <v>0</v>
      </c>
      <c r="N45" s="56" t="s">
        <v>34</v>
      </c>
      <c r="O45" s="58"/>
      <c r="P45" s="93">
        <f>ROUND(IF(M46=0,0,100*N46/M46),0)</f>
        <v>0</v>
      </c>
      <c r="Q45" s="54">
        <v>9254.1</v>
      </c>
      <c r="R45" s="60">
        <f>100%-(Q45/J45*100%)</f>
        <v>0.3499964880241624</v>
      </c>
      <c r="S45" s="94">
        <v>11</v>
      </c>
      <c r="T45" s="62">
        <f>ROUND(Q45*S45,1)</f>
        <v>101795.1</v>
      </c>
      <c r="U45" s="63" t="s">
        <v>34</v>
      </c>
      <c r="V45" s="59">
        <f>ROUND(IF(T46=0,0,((U46+W46)/T46)*100),1)</f>
        <v>90.5</v>
      </c>
      <c r="W45" s="92">
        <v>5131</v>
      </c>
      <c r="X45" s="62">
        <v>5770</v>
      </c>
      <c r="Y45" s="62">
        <v>236282</v>
      </c>
      <c r="Z45" s="87" t="s">
        <v>34</v>
      </c>
      <c r="AA45" s="87" t="s">
        <v>34</v>
      </c>
      <c r="AB45" s="95">
        <f>ROUND(IF(Y46=0,0,100*Z46/Y46),0)</f>
        <v>0</v>
      </c>
    </row>
    <row r="46" spans="1:28" ht="24.75" customHeight="1">
      <c r="A46" s="131"/>
      <c r="B46" s="132"/>
      <c r="C46" s="67" t="s">
        <v>35</v>
      </c>
      <c r="D46" s="69">
        <v>4332</v>
      </c>
      <c r="E46" s="69">
        <v>5631</v>
      </c>
      <c r="F46" s="107">
        <v>0</v>
      </c>
      <c r="G46" s="107">
        <v>0</v>
      </c>
      <c r="H46" s="108">
        <v>4306.89</v>
      </c>
      <c r="I46" s="108">
        <v>6142.49</v>
      </c>
      <c r="J46" s="71">
        <f>SUM(F46:I46)</f>
        <v>10449.380000000001</v>
      </c>
      <c r="K46" s="133">
        <v>0</v>
      </c>
      <c r="L46" s="133">
        <v>0</v>
      </c>
      <c r="M46" s="71">
        <f>ROUND((F46*K46)+(G46*L46),0)</f>
        <v>0</v>
      </c>
      <c r="N46" s="71"/>
      <c r="O46" s="71"/>
      <c r="P46" s="99"/>
      <c r="Q46" s="71">
        <v>6514.92</v>
      </c>
      <c r="R46" s="74">
        <f>100%-(Q46/J46*100%)</f>
        <v>0.37652568860544844</v>
      </c>
      <c r="S46" s="100">
        <v>11</v>
      </c>
      <c r="T46" s="71">
        <v>71664.12</v>
      </c>
      <c r="U46" s="76">
        <v>62840</v>
      </c>
      <c r="V46" s="73"/>
      <c r="W46" s="76">
        <v>2030.3</v>
      </c>
      <c r="X46" s="76">
        <v>5361.2</v>
      </c>
      <c r="Y46" s="76">
        <v>219860.9</v>
      </c>
      <c r="Z46" s="76"/>
      <c r="AA46" s="76">
        <v>0</v>
      </c>
      <c r="AB46" s="102"/>
    </row>
    <row r="47" spans="1:28" ht="24.75" customHeight="1">
      <c r="A47" s="134"/>
      <c r="B47" s="135"/>
      <c r="C47" s="79" t="s">
        <v>36</v>
      </c>
      <c r="D47" s="62">
        <f aca="true" t="shared" si="11" ref="D47:J47">D45-D46</f>
        <v>268</v>
      </c>
      <c r="E47" s="62">
        <f t="shared" si="11"/>
        <v>1239</v>
      </c>
      <c r="F47" s="62">
        <f t="shared" si="11"/>
        <v>0</v>
      </c>
      <c r="G47" s="62">
        <f t="shared" si="11"/>
        <v>0</v>
      </c>
      <c r="H47" s="62">
        <f t="shared" si="11"/>
        <v>3045.1099999999997</v>
      </c>
      <c r="I47" s="62">
        <f t="shared" si="11"/>
        <v>742.5100000000002</v>
      </c>
      <c r="J47" s="62">
        <f t="shared" si="11"/>
        <v>3787.619999999999</v>
      </c>
      <c r="K47" s="126">
        <v>0</v>
      </c>
      <c r="L47" s="126">
        <v>0</v>
      </c>
      <c r="M47" s="56">
        <f>M45-M46</f>
        <v>0</v>
      </c>
      <c r="N47" s="56">
        <f>M46-N46</f>
        <v>0</v>
      </c>
      <c r="O47" s="58"/>
      <c r="P47" s="103"/>
      <c r="Q47" s="92">
        <f>Q45-Q46</f>
        <v>2739.1800000000003</v>
      </c>
      <c r="R47" s="60"/>
      <c r="S47" s="94"/>
      <c r="T47" s="62">
        <f>T45-T46</f>
        <v>30130.98000000001</v>
      </c>
      <c r="U47" s="63">
        <f>T46-U46</f>
        <v>8824.119999999995</v>
      </c>
      <c r="V47" s="84"/>
      <c r="W47" s="92">
        <f>W45-W46</f>
        <v>3100.7</v>
      </c>
      <c r="X47" s="62">
        <f>X45-X46</f>
        <v>408.8000000000002</v>
      </c>
      <c r="Y47" s="62">
        <f>Y45-Y46</f>
        <v>16421.100000000006</v>
      </c>
      <c r="Z47" s="87">
        <f>Y46-Z46</f>
        <v>219860.9</v>
      </c>
      <c r="AA47" s="87"/>
      <c r="AB47" s="104"/>
    </row>
    <row r="48" spans="1:28" ht="24.75" customHeight="1">
      <c r="A48" s="51">
        <v>3</v>
      </c>
      <c r="B48" s="89" t="s">
        <v>52</v>
      </c>
      <c r="C48" s="53" t="s">
        <v>33</v>
      </c>
      <c r="D48" s="62">
        <v>2294</v>
      </c>
      <c r="E48" s="62">
        <v>2250</v>
      </c>
      <c r="F48" s="92">
        <v>0</v>
      </c>
      <c r="G48" s="92">
        <v>0</v>
      </c>
      <c r="H48" s="92">
        <v>3228</v>
      </c>
      <c r="I48" s="92">
        <v>2090</v>
      </c>
      <c r="J48" s="82">
        <f>SUM(F48:I48)</f>
        <v>5318</v>
      </c>
      <c r="K48" s="126">
        <v>0</v>
      </c>
      <c r="L48" s="126">
        <v>0</v>
      </c>
      <c r="M48" s="56">
        <f>ROUND((F48*K48)+(G48*L48),0)</f>
        <v>0</v>
      </c>
      <c r="N48" s="56" t="s">
        <v>34</v>
      </c>
      <c r="O48" s="58"/>
      <c r="P48" s="93">
        <f>ROUND(IF(M49=0,0,100*N49/M49),0)</f>
        <v>0</v>
      </c>
      <c r="Q48" s="92">
        <v>3385</v>
      </c>
      <c r="R48" s="60">
        <f>100%-(Q48/J48*100%)</f>
        <v>0.36348251222264005</v>
      </c>
      <c r="S48" s="94">
        <v>11</v>
      </c>
      <c r="T48" s="62">
        <f>ROUND(Q48*S48,1)</f>
        <v>37235</v>
      </c>
      <c r="U48" s="63" t="s">
        <v>34</v>
      </c>
      <c r="V48" s="59">
        <f>ROUND(IF(T49=0,0,((U49+W49)/T49)*100),1)</f>
        <v>90.5</v>
      </c>
      <c r="W48" s="92">
        <v>2250</v>
      </c>
      <c r="X48" s="62">
        <v>1375</v>
      </c>
      <c r="Y48" s="54">
        <v>55123.8</v>
      </c>
      <c r="Z48" s="87" t="s">
        <v>34</v>
      </c>
      <c r="AA48" s="87"/>
      <c r="AB48" s="95">
        <f>ROUND(IF(Y49=0,0,100*Z49/Y49),0)</f>
        <v>89</v>
      </c>
    </row>
    <row r="49" spans="1:28" ht="24.75" customHeight="1">
      <c r="A49" s="66"/>
      <c r="B49" s="90"/>
      <c r="C49" s="67" t="s">
        <v>35</v>
      </c>
      <c r="D49" s="136">
        <v>1581</v>
      </c>
      <c r="E49" s="106">
        <v>1931</v>
      </c>
      <c r="F49" s="97">
        <v>0</v>
      </c>
      <c r="G49" s="97">
        <v>0</v>
      </c>
      <c r="H49" s="97">
        <v>1201.6</v>
      </c>
      <c r="I49" s="97">
        <v>1483.8</v>
      </c>
      <c r="J49" s="71">
        <f>SUM(F49:I49)</f>
        <v>2685.3999999999996</v>
      </c>
      <c r="K49" s="133">
        <v>0</v>
      </c>
      <c r="L49" s="133">
        <v>0</v>
      </c>
      <c r="M49" s="71">
        <f>ROUND((F49*K49)+(G49*L49),0)</f>
        <v>0</v>
      </c>
      <c r="N49" s="71"/>
      <c r="O49" s="71"/>
      <c r="P49" s="99"/>
      <c r="Q49" s="71">
        <v>1736.1</v>
      </c>
      <c r="R49" s="74">
        <f>100%-(Q49/J49*100%)</f>
        <v>0.3535041334624264</v>
      </c>
      <c r="S49" s="100">
        <v>11</v>
      </c>
      <c r="T49" s="109">
        <v>31328.4</v>
      </c>
      <c r="U49" s="101">
        <v>27337</v>
      </c>
      <c r="V49" s="73"/>
      <c r="W49" s="76">
        <v>1003.2</v>
      </c>
      <c r="X49" s="101">
        <v>1174.2</v>
      </c>
      <c r="Y49" s="101">
        <v>46995.2</v>
      </c>
      <c r="Z49" s="101">
        <v>41787</v>
      </c>
      <c r="AA49" s="101">
        <v>0</v>
      </c>
      <c r="AB49" s="102"/>
    </row>
    <row r="50" spans="1:28" ht="24.75" customHeight="1">
      <c r="A50" s="78"/>
      <c r="B50" s="91"/>
      <c r="C50" s="79" t="s">
        <v>36</v>
      </c>
      <c r="D50" s="62">
        <f aca="true" t="shared" si="12" ref="D50:J50">D48-D49</f>
        <v>713</v>
      </c>
      <c r="E50" s="62">
        <f t="shared" si="12"/>
        <v>319</v>
      </c>
      <c r="F50" s="62">
        <f t="shared" si="12"/>
        <v>0</v>
      </c>
      <c r="G50" s="62">
        <f t="shared" si="12"/>
        <v>0</v>
      </c>
      <c r="H50" s="62">
        <f t="shared" si="12"/>
        <v>2026.4</v>
      </c>
      <c r="I50" s="62">
        <f t="shared" si="12"/>
        <v>606.2</v>
      </c>
      <c r="J50" s="62">
        <f t="shared" si="12"/>
        <v>2632.6000000000004</v>
      </c>
      <c r="K50" s="126">
        <v>0</v>
      </c>
      <c r="L50" s="126">
        <v>0</v>
      </c>
      <c r="M50" s="56">
        <f>M48-M49</f>
        <v>0</v>
      </c>
      <c r="N50" s="56">
        <f>M49-N49</f>
        <v>0</v>
      </c>
      <c r="O50" s="58"/>
      <c r="P50" s="103"/>
      <c r="Q50" s="92">
        <f>Q48-Q49</f>
        <v>1648.9</v>
      </c>
      <c r="R50" s="60"/>
      <c r="S50" s="94"/>
      <c r="T50" s="62">
        <f>T48-T49</f>
        <v>5906.5999999999985</v>
      </c>
      <c r="U50" s="63">
        <f>T49-U49</f>
        <v>3991.4000000000015</v>
      </c>
      <c r="V50" s="84"/>
      <c r="W50" s="92">
        <f>W48-W49</f>
        <v>1246.8</v>
      </c>
      <c r="X50" s="62">
        <f>X48-X49</f>
        <v>200.79999999999995</v>
      </c>
      <c r="Y50" s="62">
        <f>Y48-Y49</f>
        <v>8128.600000000006</v>
      </c>
      <c r="Z50" s="87">
        <f>Y49-Z49</f>
        <v>5208.199999999997</v>
      </c>
      <c r="AA50" s="87"/>
      <c r="AB50" s="104"/>
    </row>
    <row r="51" spans="1:28" ht="24.75" customHeight="1">
      <c r="A51" s="129">
        <v>4</v>
      </c>
      <c r="B51" s="137" t="s">
        <v>53</v>
      </c>
      <c r="C51" s="53" t="s">
        <v>33</v>
      </c>
      <c r="D51" s="62">
        <v>3350</v>
      </c>
      <c r="E51" s="62">
        <v>6009</v>
      </c>
      <c r="F51" s="138">
        <v>0</v>
      </c>
      <c r="G51" s="138">
        <v>0</v>
      </c>
      <c r="H51" s="138">
        <v>18357</v>
      </c>
      <c r="I51" s="138">
        <v>600</v>
      </c>
      <c r="J51" s="139">
        <f>SUM(F51:I51)</f>
        <v>18957</v>
      </c>
      <c r="K51" s="126">
        <v>0</v>
      </c>
      <c r="L51" s="126">
        <v>0</v>
      </c>
      <c r="M51" s="56">
        <f>ROUND((F51*K51)+(G51*L51),0)</f>
        <v>0</v>
      </c>
      <c r="N51" s="140" t="s">
        <v>34</v>
      </c>
      <c r="O51" s="58"/>
      <c r="P51" s="59">
        <f>ROUND(IF(M52=0,0,100*N52/M52),0)</f>
        <v>0</v>
      </c>
      <c r="Q51" s="92">
        <v>12000</v>
      </c>
      <c r="R51" s="60">
        <f>100%-(Q51/J51*100%)</f>
        <v>0.3669884475391676</v>
      </c>
      <c r="S51" s="94">
        <v>11</v>
      </c>
      <c r="T51" s="62">
        <v>134436</v>
      </c>
      <c r="U51" s="63" t="s">
        <v>34</v>
      </c>
      <c r="V51" s="59">
        <f>ROUND(IF(T52=0,0,((U52+W52)/T52)*100),1)</f>
        <v>96</v>
      </c>
      <c r="W51" s="92">
        <v>3349</v>
      </c>
      <c r="X51" s="62">
        <v>1700</v>
      </c>
      <c r="Y51" s="62">
        <v>65671</v>
      </c>
      <c r="Z51" s="87" t="s">
        <v>34</v>
      </c>
      <c r="AA51" s="87"/>
      <c r="AB51" s="95">
        <f>ROUND(IF(Y52=0,0,100*Z52/Y52),0)</f>
        <v>101</v>
      </c>
    </row>
    <row r="52" spans="1:28" ht="24.75" customHeight="1">
      <c r="A52" s="131"/>
      <c r="B52" s="141"/>
      <c r="C52" s="67" t="s">
        <v>35</v>
      </c>
      <c r="D52" s="69">
        <v>2964</v>
      </c>
      <c r="E52" s="69">
        <v>5185</v>
      </c>
      <c r="F52" s="107">
        <v>0</v>
      </c>
      <c r="G52" s="107">
        <v>0</v>
      </c>
      <c r="H52" s="98">
        <v>15790</v>
      </c>
      <c r="I52" s="98">
        <v>544</v>
      </c>
      <c r="J52" s="142">
        <f>SUM(F52:I52)</f>
        <v>16334</v>
      </c>
      <c r="K52" s="133">
        <v>0</v>
      </c>
      <c r="L52" s="133">
        <v>0</v>
      </c>
      <c r="M52" s="142">
        <f>ROUND((F52*K52)+(G52*L52),0)</f>
        <v>0</v>
      </c>
      <c r="N52" s="71"/>
      <c r="O52" s="71"/>
      <c r="P52" s="73"/>
      <c r="Q52" s="71">
        <v>10340</v>
      </c>
      <c r="R52" s="74">
        <f>100%-(Q52/J52*100%)</f>
        <v>0.36696461368923716</v>
      </c>
      <c r="S52" s="100">
        <v>11</v>
      </c>
      <c r="T52" s="71">
        <v>117806</v>
      </c>
      <c r="U52" s="76">
        <v>111168</v>
      </c>
      <c r="V52" s="73"/>
      <c r="W52" s="76">
        <v>1911</v>
      </c>
      <c r="X52" s="101">
        <v>1358</v>
      </c>
      <c r="Y52" s="101">
        <v>53525</v>
      </c>
      <c r="Z52" s="101">
        <v>53869</v>
      </c>
      <c r="AA52" s="101">
        <v>53869</v>
      </c>
      <c r="AB52" s="102"/>
    </row>
    <row r="53" spans="1:28" ht="24.75" customHeight="1">
      <c r="A53" s="134"/>
      <c r="B53" s="143"/>
      <c r="C53" s="79" t="s">
        <v>36</v>
      </c>
      <c r="D53" s="62">
        <f aca="true" t="shared" si="13" ref="D53:J53">D51-D52</f>
        <v>386</v>
      </c>
      <c r="E53" s="62">
        <f t="shared" si="13"/>
        <v>824</v>
      </c>
      <c r="F53" s="62">
        <f t="shared" si="13"/>
        <v>0</v>
      </c>
      <c r="G53" s="62">
        <f t="shared" si="13"/>
        <v>0</v>
      </c>
      <c r="H53" s="62">
        <f t="shared" si="13"/>
        <v>2567</v>
      </c>
      <c r="I53" s="62">
        <f t="shared" si="13"/>
        <v>56</v>
      </c>
      <c r="J53" s="62">
        <f t="shared" si="13"/>
        <v>2623</v>
      </c>
      <c r="K53" s="126">
        <v>0</v>
      </c>
      <c r="L53" s="126">
        <v>0</v>
      </c>
      <c r="M53" s="140">
        <f>M51-M52</f>
        <v>0</v>
      </c>
      <c r="N53" s="140">
        <f>M52-N52</f>
        <v>0</v>
      </c>
      <c r="O53" s="58"/>
      <c r="P53" s="84"/>
      <c r="Q53" s="92"/>
      <c r="R53" s="60"/>
      <c r="S53" s="94"/>
      <c r="T53" s="62">
        <f>T51-T52</f>
        <v>16630</v>
      </c>
      <c r="U53" s="63">
        <f>T52-U52</f>
        <v>6638</v>
      </c>
      <c r="V53" s="84"/>
      <c r="W53" s="92">
        <f>W51-W52</f>
        <v>1438</v>
      </c>
      <c r="X53" s="62">
        <f>X51-X52</f>
        <v>342</v>
      </c>
      <c r="Y53" s="62">
        <f>Y51-Y52</f>
        <v>12146</v>
      </c>
      <c r="Z53" s="87">
        <f>Y52-Z52</f>
        <v>-344</v>
      </c>
      <c r="AA53" s="87"/>
      <c r="AB53" s="104"/>
    </row>
    <row r="54" spans="1:28" ht="24.75" customHeight="1">
      <c r="A54" s="51">
        <v>5</v>
      </c>
      <c r="B54" s="89" t="s">
        <v>54</v>
      </c>
      <c r="C54" s="53" t="s">
        <v>33</v>
      </c>
      <c r="D54" s="62">
        <v>1600</v>
      </c>
      <c r="E54" s="62">
        <v>6150</v>
      </c>
      <c r="F54" s="92">
        <v>115</v>
      </c>
      <c r="G54" s="92">
        <v>0</v>
      </c>
      <c r="H54" s="92">
        <v>6770</v>
      </c>
      <c r="I54" s="92">
        <v>3235</v>
      </c>
      <c r="J54" s="139">
        <f>SUM(F54:I54)</f>
        <v>10120</v>
      </c>
      <c r="K54" s="144">
        <v>1.01</v>
      </c>
      <c r="L54" s="144">
        <v>11.52</v>
      </c>
      <c r="M54" s="140">
        <f>ROUND((F54*K54)+(G54*L54),0)</f>
        <v>116</v>
      </c>
      <c r="N54" s="140" t="s">
        <v>34</v>
      </c>
      <c r="O54" s="58"/>
      <c r="P54" s="59">
        <f>ROUND(IF(M55=0,0,N55/M55)*100,0)</f>
        <v>0</v>
      </c>
      <c r="Q54" s="92">
        <v>6800</v>
      </c>
      <c r="R54" s="60">
        <f>100%-(Q54/J54*100%)</f>
        <v>0.32806324110671936</v>
      </c>
      <c r="S54" s="94">
        <v>11</v>
      </c>
      <c r="T54" s="62">
        <v>75350</v>
      </c>
      <c r="U54" s="63" t="s">
        <v>34</v>
      </c>
      <c r="V54" s="59">
        <f>ROUND(IF(T55=0,0,((U55+W55)/T55)*100),1)</f>
        <v>37.3</v>
      </c>
      <c r="W54" s="92">
        <v>1600</v>
      </c>
      <c r="X54" s="62">
        <v>2630</v>
      </c>
      <c r="Y54" s="62">
        <v>107304</v>
      </c>
      <c r="Z54" s="87" t="s">
        <v>34</v>
      </c>
      <c r="AA54" s="87"/>
      <c r="AB54" s="95">
        <f>ROUND(IF(Y55=0,0,100*Z55/Y55),0)</f>
        <v>109</v>
      </c>
    </row>
    <row r="55" spans="1:28" ht="24.75" customHeight="1">
      <c r="A55" s="66"/>
      <c r="B55" s="90"/>
      <c r="C55" s="67" t="s">
        <v>35</v>
      </c>
      <c r="D55" s="69">
        <v>1490</v>
      </c>
      <c r="E55" s="69">
        <v>4950</v>
      </c>
      <c r="F55" s="107">
        <v>136</v>
      </c>
      <c r="G55" s="107">
        <v>0</v>
      </c>
      <c r="H55" s="108">
        <v>5516.5</v>
      </c>
      <c r="I55" s="108">
        <v>2431.1</v>
      </c>
      <c r="J55" s="145">
        <f>SUM(F55:I55)</f>
        <v>8083.6</v>
      </c>
      <c r="K55" s="146">
        <v>1.01</v>
      </c>
      <c r="L55" s="146">
        <v>11.52</v>
      </c>
      <c r="M55" s="142">
        <f>F55*K55</f>
        <v>137.36</v>
      </c>
      <c r="N55" s="71"/>
      <c r="O55" s="71"/>
      <c r="P55" s="73"/>
      <c r="Q55" s="71">
        <v>5704.6</v>
      </c>
      <c r="R55" s="74">
        <f>100%-(Q55/J55*100%)</f>
        <v>0.29429956949873814</v>
      </c>
      <c r="S55" s="100">
        <v>11</v>
      </c>
      <c r="T55" s="71">
        <v>62750.6</v>
      </c>
      <c r="U55" s="76">
        <v>23400</v>
      </c>
      <c r="V55" s="73"/>
      <c r="W55" s="76">
        <v>0</v>
      </c>
      <c r="X55" s="76">
        <v>2599.1</v>
      </c>
      <c r="Y55" s="76">
        <v>103576.7</v>
      </c>
      <c r="Z55" s="71">
        <v>112625</v>
      </c>
      <c r="AA55" s="71">
        <v>0</v>
      </c>
      <c r="AB55" s="102"/>
    </row>
    <row r="56" spans="1:28" ht="24.75" customHeight="1">
      <c r="A56" s="78"/>
      <c r="B56" s="91"/>
      <c r="C56" s="79" t="s">
        <v>36</v>
      </c>
      <c r="D56" s="62">
        <f aca="true" t="shared" si="14" ref="D56:J56">D54-D55</f>
        <v>110</v>
      </c>
      <c r="E56" s="62">
        <f t="shared" si="14"/>
        <v>1200</v>
      </c>
      <c r="F56" s="62">
        <f t="shared" si="14"/>
        <v>-21</v>
      </c>
      <c r="G56" s="62">
        <f t="shared" si="14"/>
        <v>0</v>
      </c>
      <c r="H56" s="62">
        <f t="shared" si="14"/>
        <v>1253.5</v>
      </c>
      <c r="I56" s="62">
        <f t="shared" si="14"/>
        <v>803.9000000000001</v>
      </c>
      <c r="J56" s="62">
        <f t="shared" si="14"/>
        <v>2036.3999999999996</v>
      </c>
      <c r="K56" s="144">
        <v>1.01</v>
      </c>
      <c r="L56" s="144">
        <v>11.52</v>
      </c>
      <c r="M56" s="140">
        <f>M54-M55</f>
        <v>-21.360000000000014</v>
      </c>
      <c r="N56" s="140">
        <f>M55-N55</f>
        <v>137.36</v>
      </c>
      <c r="O56" s="58"/>
      <c r="P56" s="84"/>
      <c r="Q56" s="92">
        <f>Q54-Q55</f>
        <v>1095.3999999999996</v>
      </c>
      <c r="R56" s="60"/>
      <c r="S56" s="94"/>
      <c r="T56" s="62">
        <f>T54-T55</f>
        <v>12599.400000000001</v>
      </c>
      <c r="U56" s="63">
        <f>T55-U55</f>
        <v>39350.6</v>
      </c>
      <c r="V56" s="84"/>
      <c r="W56" s="92">
        <f>W54-W55</f>
        <v>1600</v>
      </c>
      <c r="X56" s="62">
        <f>X54-X55</f>
        <v>30.90000000000009</v>
      </c>
      <c r="Y56" s="62">
        <f>Y54-Y55</f>
        <v>3727.300000000003</v>
      </c>
      <c r="Z56" s="87">
        <f>Y55-Z55</f>
        <v>-9048.300000000003</v>
      </c>
      <c r="AA56" s="87"/>
      <c r="AB56" s="104"/>
    </row>
    <row r="57" spans="1:29" ht="23.25" customHeight="1">
      <c r="A57" s="110" t="s">
        <v>55</v>
      </c>
      <c r="B57" s="111"/>
      <c r="C57" s="112"/>
      <c r="D57" s="113">
        <f>SUM(D42,D45,D48,D51,D54)</f>
        <v>15036</v>
      </c>
      <c r="E57" s="113">
        <f aca="true" t="shared" si="15" ref="E57:J58">SUM(E42,E45,E48,E51,E54)</f>
        <v>33915</v>
      </c>
      <c r="F57" s="113">
        <f t="shared" si="15"/>
        <v>115</v>
      </c>
      <c r="G57" s="113">
        <f t="shared" si="15"/>
        <v>0</v>
      </c>
      <c r="H57" s="113">
        <f t="shared" si="15"/>
        <v>38707</v>
      </c>
      <c r="I57" s="113">
        <f t="shared" si="15"/>
        <v>24810</v>
      </c>
      <c r="J57" s="113">
        <f t="shared" si="15"/>
        <v>63632</v>
      </c>
      <c r="K57" s="114" t="s">
        <v>34</v>
      </c>
      <c r="L57" s="114" t="s">
        <v>34</v>
      </c>
      <c r="M57" s="113">
        <f aca="true" t="shared" si="16" ref="M57:O58">SUM(M42,M45,M48,M51,M54)</f>
        <v>116</v>
      </c>
      <c r="N57" s="113" t="s">
        <v>34</v>
      </c>
      <c r="O57" s="113" t="s">
        <v>34</v>
      </c>
      <c r="P57" s="115"/>
      <c r="Q57" s="113">
        <f>SUM(Q42,Q45,Q48,Q51,Q54)</f>
        <v>40139.1</v>
      </c>
      <c r="R57" s="116">
        <f>100%-(Q57/J57*100%)</f>
        <v>0.3691994593915011</v>
      </c>
      <c r="S57" s="117" t="s">
        <v>34</v>
      </c>
      <c r="T57" s="113">
        <f>SUM(T42,T45,T48,T51,T54)</f>
        <v>444516.1</v>
      </c>
      <c r="U57" s="147" t="s">
        <v>34</v>
      </c>
      <c r="V57" s="118"/>
      <c r="W57" s="113">
        <f aca="true" t="shared" si="17" ref="W57:AA58">SUM(W42,W45,W48,W51,W54)</f>
        <v>24330</v>
      </c>
      <c r="X57" s="113">
        <f t="shared" si="17"/>
        <v>18775</v>
      </c>
      <c r="Y57" s="113">
        <f t="shared" si="17"/>
        <v>762950.8</v>
      </c>
      <c r="Z57" s="119" t="s">
        <v>34</v>
      </c>
      <c r="AA57" s="119" t="s">
        <v>34</v>
      </c>
      <c r="AB57" s="148"/>
      <c r="AC57" s="149"/>
    </row>
    <row r="58" spans="1:29" ht="23.25" customHeight="1">
      <c r="A58" s="110" t="s">
        <v>56</v>
      </c>
      <c r="B58" s="111"/>
      <c r="C58" s="112"/>
      <c r="D58" s="113">
        <f>SUM(D43,D46,D49,D52,D55)</f>
        <v>12115</v>
      </c>
      <c r="E58" s="113">
        <f t="shared" si="15"/>
        <v>23722</v>
      </c>
      <c r="F58" s="113">
        <f t="shared" si="15"/>
        <v>136</v>
      </c>
      <c r="G58" s="113">
        <f t="shared" si="15"/>
        <v>0</v>
      </c>
      <c r="H58" s="113">
        <f t="shared" si="15"/>
        <v>28251.989999999998</v>
      </c>
      <c r="I58" s="113">
        <f t="shared" si="15"/>
        <v>21392.389999999996</v>
      </c>
      <c r="J58" s="113">
        <f t="shared" si="15"/>
        <v>49780.38</v>
      </c>
      <c r="K58" s="114" t="s">
        <v>34</v>
      </c>
      <c r="L58" s="114" t="s">
        <v>34</v>
      </c>
      <c r="M58" s="113">
        <f t="shared" si="16"/>
        <v>137.36</v>
      </c>
      <c r="N58" s="113">
        <f t="shared" si="16"/>
        <v>0</v>
      </c>
      <c r="O58" s="113">
        <f t="shared" si="16"/>
        <v>0</v>
      </c>
      <c r="P58" s="115">
        <f>ROUND((IF(M58=0,0,100*N58/M58)),0)</f>
        <v>0</v>
      </c>
      <c r="Q58" s="113">
        <f>SUM(Q43,Q46,Q49,Q52,Q55)</f>
        <v>31389.620000000003</v>
      </c>
      <c r="R58" s="116">
        <f>100%-(Q58/J58*100%)</f>
        <v>0.3694379191159247</v>
      </c>
      <c r="S58" s="117" t="s">
        <v>34</v>
      </c>
      <c r="T58" s="113">
        <f>SUM(T43,T46,T49,T52,T55)</f>
        <v>361583.12</v>
      </c>
      <c r="U58" s="113">
        <f>SUM(U43,U46,U49,U52,U55)</f>
        <v>270118.6</v>
      </c>
      <c r="V58" s="113">
        <f>ROUND(IF(T58=0,0,((U58+W58)/T58)*100),1)</f>
        <v>76.1</v>
      </c>
      <c r="W58" s="113">
        <f t="shared" si="17"/>
        <v>4944.5</v>
      </c>
      <c r="X58" s="113">
        <f t="shared" si="17"/>
        <v>18244.2</v>
      </c>
      <c r="Y58" s="113">
        <f t="shared" si="17"/>
        <v>750475.9999999999</v>
      </c>
      <c r="Z58" s="113">
        <f t="shared" si="17"/>
        <v>208281</v>
      </c>
      <c r="AA58" s="113">
        <f t="shared" si="17"/>
        <v>53869</v>
      </c>
      <c r="AB58" s="148">
        <f>ROUND((IF(Y58=0,0,100*Z58/Y58)),0)</f>
        <v>28</v>
      </c>
      <c r="AC58" s="149"/>
    </row>
    <row r="59" spans="1:29" ht="23.25" customHeight="1">
      <c r="A59" s="110" t="s">
        <v>57</v>
      </c>
      <c r="B59" s="111"/>
      <c r="C59" s="112"/>
      <c r="D59" s="113">
        <f>D39+D57</f>
        <v>102048.4</v>
      </c>
      <c r="E59" s="113">
        <f aca="true" t="shared" si="18" ref="E59:J60">E39+E57</f>
        <v>148496</v>
      </c>
      <c r="F59" s="113">
        <f t="shared" si="18"/>
        <v>733468.4</v>
      </c>
      <c r="G59" s="113">
        <f t="shared" si="18"/>
        <v>59300</v>
      </c>
      <c r="H59" s="113">
        <f t="shared" si="18"/>
        <v>57531.2</v>
      </c>
      <c r="I59" s="113">
        <f t="shared" si="18"/>
        <v>172294.1</v>
      </c>
      <c r="J59" s="113">
        <f t="shared" si="18"/>
        <v>1022593.7</v>
      </c>
      <c r="K59" s="114" t="s">
        <v>34</v>
      </c>
      <c r="L59" s="114" t="s">
        <v>34</v>
      </c>
      <c r="M59" s="113">
        <f>M39+M57</f>
        <v>1423939</v>
      </c>
      <c r="N59" s="113" t="s">
        <v>34</v>
      </c>
      <c r="O59" s="113" t="s">
        <v>34</v>
      </c>
      <c r="P59" s="115" t="s">
        <v>34</v>
      </c>
      <c r="Q59" s="113">
        <f>Q39+Q57</f>
        <v>577103.9</v>
      </c>
      <c r="R59" s="116">
        <f>100%-(Q59/J59*100%)</f>
        <v>0.43564692409116146</v>
      </c>
      <c r="S59" s="150" t="s">
        <v>34</v>
      </c>
      <c r="T59" s="113">
        <f>T39+T57</f>
        <v>6328961.899999999</v>
      </c>
      <c r="U59" s="147" t="s">
        <v>34</v>
      </c>
      <c r="V59" s="118" t="s">
        <v>34</v>
      </c>
      <c r="W59" s="113">
        <f>W39+W57</f>
        <v>138163</v>
      </c>
      <c r="X59" s="113">
        <f>X39+X57</f>
        <v>122247.3</v>
      </c>
      <c r="Y59" s="113">
        <f>Y39+Y57</f>
        <v>4901401.7</v>
      </c>
      <c r="Z59" s="119" t="s">
        <v>34</v>
      </c>
      <c r="AA59" s="151" t="s">
        <v>34</v>
      </c>
      <c r="AB59" s="148" t="s">
        <v>34</v>
      </c>
      <c r="AC59" s="152"/>
    </row>
    <row r="60" spans="1:29" ht="23.25" customHeight="1">
      <c r="A60" s="110" t="s">
        <v>58</v>
      </c>
      <c r="B60" s="111"/>
      <c r="C60" s="112"/>
      <c r="D60" s="113">
        <f>D40+D58</f>
        <v>92890.75</v>
      </c>
      <c r="E60" s="113">
        <f t="shared" si="18"/>
        <v>110971</v>
      </c>
      <c r="F60" s="113">
        <f t="shared" si="18"/>
        <v>720273.2300000001</v>
      </c>
      <c r="G60" s="113">
        <f t="shared" si="18"/>
        <v>96696.7</v>
      </c>
      <c r="H60" s="113">
        <f t="shared" si="18"/>
        <v>43206.06999999999</v>
      </c>
      <c r="I60" s="113">
        <f t="shared" si="18"/>
        <v>175835.29</v>
      </c>
      <c r="J60" s="113">
        <f t="shared" si="18"/>
        <v>1036011.2899999999</v>
      </c>
      <c r="K60" s="114" t="s">
        <v>34</v>
      </c>
      <c r="L60" s="114" t="s">
        <v>34</v>
      </c>
      <c r="M60" s="113">
        <f>M40+M58</f>
        <v>1841421.26</v>
      </c>
      <c r="N60" s="113">
        <f>N40+N58</f>
        <v>646354.3</v>
      </c>
      <c r="O60" s="113">
        <f>O40+O58</f>
        <v>60981</v>
      </c>
      <c r="P60" s="153">
        <f>ROUND(100*N60/M60,0)</f>
        <v>35</v>
      </c>
      <c r="Q60" s="113">
        <f>Q40+Q58</f>
        <v>582888.01</v>
      </c>
      <c r="R60" s="116">
        <f>100%-(Q60/J60*100%)</f>
        <v>0.4373729170461067</v>
      </c>
      <c r="S60" s="150" t="s">
        <v>34</v>
      </c>
      <c r="T60" s="113">
        <f>T40+T58</f>
        <v>6409599.84</v>
      </c>
      <c r="U60" s="113">
        <f>U40+U58</f>
        <v>3137516.9990000003</v>
      </c>
      <c r="V60" s="113">
        <f>ROUND(IF(T60=0,0,((U60+W60)/T60)*100),1)</f>
        <v>49.6</v>
      </c>
      <c r="W60" s="113">
        <f>W40+W58</f>
        <v>43232.649999999994</v>
      </c>
      <c r="X60" s="113">
        <f>X40+X58</f>
        <v>118903.98000000001</v>
      </c>
      <c r="Y60" s="113">
        <f>Y40+Y58</f>
        <v>4709871.4</v>
      </c>
      <c r="Z60" s="113">
        <f>Z40+Z58</f>
        <v>2929881</v>
      </c>
      <c r="AA60" s="113">
        <f>AA40+AA58</f>
        <v>198869</v>
      </c>
      <c r="AB60" s="148">
        <f>ROUND(100*Z60/Y60,0)</f>
        <v>62</v>
      </c>
      <c r="AC60" s="149"/>
    </row>
    <row r="61" spans="1:28" ht="15">
      <c r="A61" s="154"/>
      <c r="B61" s="154"/>
      <c r="C61" s="155"/>
      <c r="D61" s="156"/>
      <c r="E61" s="157"/>
      <c r="F61" s="157"/>
      <c r="G61" s="158" t="s">
        <v>50</v>
      </c>
      <c r="H61" s="158"/>
      <c r="I61" s="159"/>
      <c r="J61" s="158" t="s">
        <v>50</v>
      </c>
      <c r="K61" s="160"/>
      <c r="L61" s="160"/>
      <c r="M61" s="160"/>
      <c r="N61" s="161"/>
      <c r="O61" s="160"/>
      <c r="P61" s="159"/>
      <c r="Q61" s="159"/>
      <c r="R61" s="162"/>
      <c r="S61" s="159"/>
      <c r="T61" s="163"/>
      <c r="U61" s="163"/>
      <c r="V61" s="162"/>
      <c r="W61" s="163" t="s">
        <v>50</v>
      </c>
      <c r="X61" s="164"/>
      <c r="Y61" s="165"/>
      <c r="Z61" s="165"/>
      <c r="AA61" s="165"/>
      <c r="AB61" s="166"/>
    </row>
    <row r="62" spans="1:28" ht="15">
      <c r="A62" s="167"/>
      <c r="B62" s="167"/>
      <c r="C62" s="167"/>
      <c r="D62" s="159"/>
      <c r="E62" s="159"/>
      <c r="F62" s="159"/>
      <c r="G62" s="159"/>
      <c r="H62" s="159"/>
      <c r="I62" s="159"/>
      <c r="J62" s="159"/>
      <c r="K62" s="160"/>
      <c r="L62" s="160"/>
      <c r="M62" s="160"/>
      <c r="N62" s="168"/>
      <c r="O62" s="160"/>
      <c r="P62" s="159"/>
      <c r="Q62" s="159"/>
      <c r="R62" s="169" t="s">
        <v>59</v>
      </c>
      <c r="S62" s="169"/>
      <c r="T62" s="169"/>
      <c r="U62" s="169">
        <f>U60+W60</f>
        <v>3180749.649</v>
      </c>
      <c r="V62" s="169"/>
      <c r="W62" s="163"/>
      <c r="X62" s="163"/>
      <c r="Y62" s="170"/>
      <c r="Z62" s="170"/>
      <c r="AA62" s="170"/>
      <c r="AB62" s="171"/>
    </row>
    <row r="63" spans="4:28" ht="15"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69"/>
      <c r="S63" s="169"/>
      <c r="T63" s="169"/>
      <c r="U63" s="169"/>
      <c r="V63" s="169"/>
      <c r="W63" s="172"/>
      <c r="X63" s="172"/>
      <c r="Y63" s="170"/>
      <c r="Z63" s="170"/>
      <c r="AA63" s="170"/>
      <c r="AB63" s="171"/>
    </row>
    <row r="64" spans="25:28" ht="15">
      <c r="Y64" s="171"/>
      <c r="Z64" s="171"/>
      <c r="AA64" s="171"/>
      <c r="AB64" s="171"/>
    </row>
  </sheetData>
  <sheetProtection/>
  <mergeCells count="109">
    <mergeCell ref="A57:C57"/>
    <mergeCell ref="A58:C58"/>
    <mergeCell ref="A59:C59"/>
    <mergeCell ref="A60:C60"/>
    <mergeCell ref="R62:T63"/>
    <mergeCell ref="U62:V63"/>
    <mergeCell ref="A51:A53"/>
    <mergeCell ref="B51:B53"/>
    <mergeCell ref="P51:P53"/>
    <mergeCell ref="V51:V53"/>
    <mergeCell ref="AB51:AB53"/>
    <mergeCell ref="A54:A56"/>
    <mergeCell ref="B54:B56"/>
    <mergeCell ref="P54:P56"/>
    <mergeCell ref="V54:V56"/>
    <mergeCell ref="AB54:AB56"/>
    <mergeCell ref="A45:A47"/>
    <mergeCell ref="B45:B47"/>
    <mergeCell ref="P45:P47"/>
    <mergeCell ref="V45:V47"/>
    <mergeCell ref="AB45:AB47"/>
    <mergeCell ref="A48:A50"/>
    <mergeCell ref="B48:B50"/>
    <mergeCell ref="P48:P50"/>
    <mergeCell ref="V48:V50"/>
    <mergeCell ref="AB48:AB50"/>
    <mergeCell ref="A40:C40"/>
    <mergeCell ref="A42:A44"/>
    <mergeCell ref="B42:B44"/>
    <mergeCell ref="P42:P44"/>
    <mergeCell ref="V42:V44"/>
    <mergeCell ref="AB42:AB44"/>
    <mergeCell ref="A36:A38"/>
    <mergeCell ref="B36:B38"/>
    <mergeCell ref="P36:P38"/>
    <mergeCell ref="V36:V38"/>
    <mergeCell ref="AB36:AB38"/>
    <mergeCell ref="A39:C39"/>
    <mergeCell ref="A30:A32"/>
    <mergeCell ref="B30:B32"/>
    <mergeCell ref="P30:P32"/>
    <mergeCell ref="V30:V32"/>
    <mergeCell ref="AB30:AB32"/>
    <mergeCell ref="A33:A35"/>
    <mergeCell ref="B33:B35"/>
    <mergeCell ref="P33:P35"/>
    <mergeCell ref="V33:V35"/>
    <mergeCell ref="AB33:AB35"/>
    <mergeCell ref="A24:A26"/>
    <mergeCell ref="B24:B26"/>
    <mergeCell ref="P24:P26"/>
    <mergeCell ref="V24:V26"/>
    <mergeCell ref="AB24:AB26"/>
    <mergeCell ref="A27:A29"/>
    <mergeCell ref="B27:B29"/>
    <mergeCell ref="P27:P29"/>
    <mergeCell ref="V27:V29"/>
    <mergeCell ref="AB27:AB29"/>
    <mergeCell ref="A18:A20"/>
    <mergeCell ref="B18:B20"/>
    <mergeCell ref="P18:P20"/>
    <mergeCell ref="V18:V20"/>
    <mergeCell ref="AB18:AB20"/>
    <mergeCell ref="A21:A23"/>
    <mergeCell ref="B21:B23"/>
    <mergeCell ref="P21:P23"/>
    <mergeCell ref="V21:V23"/>
    <mergeCell ref="AB21:AB23"/>
    <mergeCell ref="A12:A14"/>
    <mergeCell ref="B12:B14"/>
    <mergeCell ref="P12:P14"/>
    <mergeCell ref="V12:V14"/>
    <mergeCell ref="AB12:AB14"/>
    <mergeCell ref="A15:A17"/>
    <mergeCell ref="B15:B17"/>
    <mergeCell ref="P15:P17"/>
    <mergeCell ref="V15:V17"/>
    <mergeCell ref="AB15:AB17"/>
    <mergeCell ref="AB5:AB6"/>
    <mergeCell ref="A8:AA8"/>
    <mergeCell ref="A9:A11"/>
    <mergeCell ref="B9:B11"/>
    <mergeCell ref="P9:P11"/>
    <mergeCell ref="V9:V11"/>
    <mergeCell ref="AB9:AB11"/>
    <mergeCell ref="F5:G5"/>
    <mergeCell ref="H5:I5"/>
    <mergeCell ref="J5:J6"/>
    <mergeCell ref="K5:K6"/>
    <mergeCell ref="L5:L6"/>
    <mergeCell ref="X5:X6"/>
    <mergeCell ref="Q4:Q6"/>
    <mergeCell ref="R4:R6"/>
    <mergeCell ref="S4:S6"/>
    <mergeCell ref="T4:V5"/>
    <mergeCell ref="W4:W6"/>
    <mergeCell ref="X4:AA4"/>
    <mergeCell ref="Y5:Y6"/>
    <mergeCell ref="Z5:AA5"/>
    <mergeCell ref="B1:AB1"/>
    <mergeCell ref="B2:AB2"/>
    <mergeCell ref="A4:A6"/>
    <mergeCell ref="B4:B6"/>
    <mergeCell ref="C4:C6"/>
    <mergeCell ref="D4:D6"/>
    <mergeCell ref="E4:E6"/>
    <mergeCell ref="F4:J4"/>
    <mergeCell ref="K4:L4"/>
    <mergeCell ref="M4:P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2019-01-08T06:02:46Z</dcterms:created>
  <dcterms:modified xsi:type="dcterms:W3CDTF">2019-01-08T06:04:20Z</dcterms:modified>
  <cp:category/>
  <cp:version/>
  <cp:contentType/>
  <cp:contentStatus/>
</cp:coreProperties>
</file>